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65" activeTab="0"/>
  </bookViews>
  <sheets>
    <sheet name="format-pl a" sheetId="1" r:id="rId1"/>
    <sheet name="Income Statement" sheetId="2" r:id="rId2"/>
    <sheet name="BalanceSheet" sheetId="3" r:id="rId3"/>
    <sheet name="Stat of Equity" sheetId="4" r:id="rId4"/>
    <sheet name="Cashflow" sheetId="5" r:id="rId5"/>
  </sheets>
  <externalReferences>
    <externalReference r:id="rId8"/>
  </externalReferences>
  <definedNames>
    <definedName name="AS2DocOpenMode" hidden="1">"AS2DocumentEdit"</definedName>
    <definedName name="PG1">#REF!</definedName>
    <definedName name="PG10">#REF!</definedName>
    <definedName name="PG2">#REF!</definedName>
    <definedName name="PG3">#REF!</definedName>
    <definedName name="PG4">#REF!</definedName>
    <definedName name="PG5">#REF!</definedName>
    <definedName name="PG6">#REF!</definedName>
    <definedName name="PG7">#REF!</definedName>
    <definedName name="PG8">#REF!</definedName>
    <definedName name="PG9">#REF!</definedName>
    <definedName name="_xlnm.Print_Area" localSheetId="2">'BalanceSheet'!$A$1:$K$66</definedName>
    <definedName name="_xlnm.Print_Area" localSheetId="4">'Cashflow'!$A$1:$H$109</definedName>
    <definedName name="_xlnm.Print_Area" localSheetId="0">'format-pl a'!$A$1:$I$34</definedName>
    <definedName name="_xlnm.Print_Area" localSheetId="1">'Income Statement'!$A$1:$I$51</definedName>
    <definedName name="_xlnm.Print_Area" localSheetId="3">'Stat of Equity'!$A$1:$S$41</definedName>
    <definedName name="_xlnm.Print_Titles" localSheetId="4">'Cashflow'!$1:$10</definedName>
    <definedName name="TextRefCopyRangeCount" hidden="1">1</definedName>
  </definedNames>
  <calcPr fullCalcOnLoad="1"/>
</workbook>
</file>

<file path=xl/sharedStrings.xml><?xml version="1.0" encoding="utf-8"?>
<sst xmlns="http://schemas.openxmlformats.org/spreadsheetml/2006/main" count="251" uniqueCount="188">
  <si>
    <t>QUARTERLY REPORT</t>
  </si>
  <si>
    <t>INDIVIDUAL QUARTER</t>
  </si>
  <si>
    <t>CUMULATIVE QUARTER</t>
  </si>
  <si>
    <t xml:space="preserve"> RM'000</t>
  </si>
  <si>
    <t>AS AT</t>
  </si>
  <si>
    <t>RM'000</t>
  </si>
  <si>
    <t>NET TANGIBLE ASSETS PER SHARE (RM)</t>
  </si>
  <si>
    <t>Revenue</t>
  </si>
  <si>
    <t>(COMPANY NO. 2444-M)</t>
  </si>
  <si>
    <t>Cash and bank balances</t>
  </si>
  <si>
    <t>n/a</t>
  </si>
  <si>
    <t>Other receivables and prepaid expenses</t>
  </si>
  <si>
    <t>Fixed deposits with licensed banks</t>
  </si>
  <si>
    <t>RM '000</t>
  </si>
  <si>
    <t>Borrowings</t>
  </si>
  <si>
    <t xml:space="preserve"> </t>
  </si>
  <si>
    <t>Reserve</t>
  </si>
  <si>
    <t>Total</t>
  </si>
  <si>
    <t>CASH FLOW FROM OPERATING ACTIVITIES</t>
  </si>
  <si>
    <t>Adjustment for:</t>
  </si>
  <si>
    <t>Interest income</t>
  </si>
  <si>
    <t>Interest received</t>
  </si>
  <si>
    <t>Revaluation</t>
  </si>
  <si>
    <t>Capital</t>
  </si>
  <si>
    <t>Depreciation of property, plant and equipment</t>
  </si>
  <si>
    <t>Finance costs</t>
  </si>
  <si>
    <t>Increase/(Decrease) in:</t>
  </si>
  <si>
    <t>Tax paid</t>
  </si>
  <si>
    <t>CASH FLOWS FROM INVESTING ACTIVITIES</t>
  </si>
  <si>
    <t>CASH FLOWS FROM FINANCING ACTIVITIES</t>
  </si>
  <si>
    <t xml:space="preserve">  </t>
  </si>
  <si>
    <t>Other operating income</t>
  </si>
  <si>
    <t>Staff costs</t>
  </si>
  <si>
    <t>Other operating expenses</t>
  </si>
  <si>
    <t>Profit from operations</t>
  </si>
  <si>
    <t>CONDENSED CONSOLIDATED INCOME STATEMENTS</t>
  </si>
  <si>
    <t>Reserve on</t>
  </si>
  <si>
    <t>Consolidation</t>
  </si>
  <si>
    <t>RCEM</t>
  </si>
  <si>
    <t>RRSB</t>
  </si>
  <si>
    <t>Retained</t>
  </si>
  <si>
    <t>Gain on disposal of property, plant and equipment</t>
  </si>
  <si>
    <t>Proceeds from disposal of property, plant and equipment</t>
  </si>
  <si>
    <t>RCE CAPITAL BERHAD</t>
  </si>
  <si>
    <t>RCE Cap</t>
  </si>
  <si>
    <t>Loans and hire-purchase receivables</t>
  </si>
  <si>
    <t xml:space="preserve">Translation </t>
  </si>
  <si>
    <t>For The Financial Period Ended 30 June 2004</t>
  </si>
  <si>
    <t>QUARTER</t>
  </si>
  <si>
    <t>1.</t>
  </si>
  <si>
    <t>2.</t>
  </si>
  <si>
    <t>3.</t>
  </si>
  <si>
    <t>4.</t>
  </si>
  <si>
    <t>5.</t>
  </si>
  <si>
    <t>6.</t>
  </si>
  <si>
    <t>7.</t>
  </si>
  <si>
    <t xml:space="preserve">RCE CAPITAL BERHAD </t>
  </si>
  <si>
    <t>(Company No. 2444-M)</t>
  </si>
  <si>
    <t xml:space="preserve">CUMULATIVE </t>
  </si>
  <si>
    <t>Basic earnings per share (sen)</t>
  </si>
  <si>
    <t>Waiver of advances by related company</t>
  </si>
  <si>
    <t>Taxation</t>
  </si>
  <si>
    <t>Finance costs paid</t>
  </si>
  <si>
    <t>Profit before taxation</t>
  </si>
  <si>
    <t>Payables and accrued expenses</t>
  </si>
  <si>
    <t>Profits</t>
  </si>
  <si>
    <t>Share</t>
  </si>
  <si>
    <t>CONDENSED CONSOLIDATED BALANCE SHEET</t>
  </si>
  <si>
    <t>CONDENSED CONSOLIDATED STATEMENT OF CHANGES IN EQUITY</t>
  </si>
  <si>
    <t>CONDENSED CONSOLIDATED CASH FLOW STATEMENT</t>
  </si>
  <si>
    <t xml:space="preserve">CASH AND CASH EQUIVALENTS AT END OF FINANCIAL </t>
  </si>
  <si>
    <t>Dividend income</t>
  </si>
  <si>
    <t>Dividend received</t>
  </si>
  <si>
    <t>Drawdown of bonds</t>
  </si>
  <si>
    <t>Gain on disposal of corporate bonds</t>
  </si>
  <si>
    <t>(Increase)/Decrease in:</t>
  </si>
  <si>
    <t>Premium</t>
  </si>
  <si>
    <t xml:space="preserve">Impairment loss of freehold land </t>
  </si>
  <si>
    <t xml:space="preserve">Property, plant and equipment written off </t>
  </si>
  <si>
    <t>Finance lease payables</t>
  </si>
  <si>
    <t>Bad debts recovered</t>
  </si>
  <si>
    <t>Attributable to:</t>
  </si>
  <si>
    <t xml:space="preserve">   Equity holders of the parent</t>
  </si>
  <si>
    <t xml:space="preserve">   Minority interest </t>
  </si>
  <si>
    <t>Basic (sen)</t>
  </si>
  <si>
    <t>Fully diluted (sen)</t>
  </si>
  <si>
    <t>ASSETS</t>
  </si>
  <si>
    <t>EQUITY AND LIABILITIES</t>
  </si>
  <si>
    <t>Reserves</t>
  </si>
  <si>
    <t>Total liabilities</t>
  </si>
  <si>
    <t xml:space="preserve">Total equity and liabilities </t>
  </si>
  <si>
    <t>Non-current assets</t>
  </si>
  <si>
    <t>Current assets</t>
  </si>
  <si>
    <t>Total assets</t>
  </si>
  <si>
    <t>Equity attributable to equity holders of the parent</t>
  </si>
  <si>
    <t xml:space="preserve">Non-current liabilities </t>
  </si>
  <si>
    <t>Current liabilities</t>
  </si>
  <si>
    <t xml:space="preserve">Property, plant and equipment </t>
  </si>
  <si>
    <t>Goodwill on consolidation</t>
  </si>
  <si>
    <t>Deferred tax assets</t>
  </si>
  <si>
    <t>Total equity</t>
  </si>
  <si>
    <t>Investment property</t>
  </si>
  <si>
    <t>Minority</t>
  </si>
  <si>
    <t>Interest</t>
  </si>
  <si>
    <t>Equity</t>
  </si>
  <si>
    <t>Effects of adopting FRS 3</t>
  </si>
  <si>
    <t>ATTRIBUTABLE TO EQUITY HOLDERS OF THE PARENT</t>
  </si>
  <si>
    <t>31/3/2006</t>
  </si>
  <si>
    <t>Earnings per share attributable to equity holders</t>
  </si>
  <si>
    <t>of the parent:</t>
  </si>
  <si>
    <t>Interest paid</t>
  </si>
  <si>
    <t>Subscription of corporate bonds</t>
  </si>
  <si>
    <t>Purchase of property trust units</t>
  </si>
  <si>
    <t>Share issuance expenses</t>
  </si>
  <si>
    <t>Net Cash Generated From Financing Activities</t>
  </si>
  <si>
    <t>Net increase in cash and cash equivalents</t>
  </si>
  <si>
    <t>Tax refund</t>
  </si>
  <si>
    <t xml:space="preserve">Share issuance expenses recognised </t>
  </si>
  <si>
    <t>directly in equity</t>
  </si>
  <si>
    <t>As at 1 April 2006</t>
  </si>
  <si>
    <t>As at 1 April, 2005</t>
  </si>
  <si>
    <t>Profit before tax</t>
  </si>
  <si>
    <t>Profit attributable to ordinary equity</t>
  </si>
  <si>
    <t>holders of the parent</t>
  </si>
  <si>
    <t>Proposed/Declared dividend per share (sen)</t>
  </si>
  <si>
    <t xml:space="preserve">Net assets per share attributable to ordinary </t>
  </si>
  <si>
    <t>equity holders of the parent (RM)</t>
  </si>
  <si>
    <t xml:space="preserve">AS AT END OF </t>
  </si>
  <si>
    <t xml:space="preserve">CURRENT </t>
  </si>
  <si>
    <t xml:space="preserve">AS AT PRECEDING </t>
  </si>
  <si>
    <t>FINANCIAL</t>
  </si>
  <si>
    <t>YEAR END</t>
  </si>
  <si>
    <t xml:space="preserve">Depreciation of property, plant and equipment and </t>
  </si>
  <si>
    <t xml:space="preserve">  investment property</t>
  </si>
  <si>
    <t xml:space="preserve">Total recognised income and expenses </t>
  </si>
  <si>
    <t>NET ASSETS PER SHARE (RM)</t>
  </si>
  <si>
    <t>Gain on disposal of investment</t>
  </si>
  <si>
    <t>Proceeds from issuance of medium term notes</t>
  </si>
  <si>
    <t>Proceeds from issuance of placement shares</t>
  </si>
  <si>
    <t xml:space="preserve">Share capital </t>
  </si>
  <si>
    <t>Share premium</t>
  </si>
  <si>
    <t>Operating Profit Before Working Capital Changes</t>
  </si>
  <si>
    <t>Loans and hire purchase receivables</t>
  </si>
  <si>
    <t>Cash Used In Operations</t>
  </si>
  <si>
    <t>Impairment of investment</t>
  </si>
  <si>
    <t>Other receivables, deposits and prepayments</t>
  </si>
  <si>
    <t>Net Cash Used in Operating Activities</t>
  </si>
  <si>
    <t>Trade receivables</t>
  </si>
  <si>
    <t>As at 31 March 2007</t>
  </si>
  <si>
    <t>As at 31 March 2006</t>
  </si>
  <si>
    <t>Acquisition of minority shareholder's</t>
  </si>
  <si>
    <t xml:space="preserve">  equity interest in subsidiary companies</t>
  </si>
  <si>
    <t>Redemption of bonds and commercial papers</t>
  </si>
  <si>
    <t>Quarterly report on consolidated results of the Group for the fourth financial quarter ended 31 March 2007</t>
  </si>
  <si>
    <t>Issuance of bonus shares</t>
  </si>
  <si>
    <t>Issuance of private placement shares</t>
  </si>
  <si>
    <t>Issuance of ordinary shares</t>
  </si>
  <si>
    <t>Capital distribution from investment</t>
  </si>
  <si>
    <t>Short term investments</t>
  </si>
  <si>
    <t xml:space="preserve">  and investment property</t>
  </si>
  <si>
    <t>Hire purchase payables</t>
  </si>
  <si>
    <t>Income tax expense</t>
  </si>
  <si>
    <t>Bad debts written off</t>
  </si>
  <si>
    <t>Allowance for doubtful debts, net</t>
  </si>
  <si>
    <t>Waiver of debt by a related party</t>
  </si>
  <si>
    <t>Drawdown of other borrowings</t>
  </si>
  <si>
    <t>Repayment of other borrowings</t>
  </si>
  <si>
    <t>Repayment of hire-purchase payables</t>
  </si>
  <si>
    <t>Repayment of finance lease payables</t>
  </si>
  <si>
    <t>Proceeds from disposal of investment</t>
  </si>
  <si>
    <t>Proceeds from disposal of quoted securities</t>
  </si>
  <si>
    <t>Purchase of quoted securities</t>
  </si>
  <si>
    <t>Gain on disposal of quoted securities</t>
  </si>
  <si>
    <t>Summary of Key Financial Information for the financial period/year ended 31 March 2007</t>
  </si>
  <si>
    <t xml:space="preserve">Profit for the period/year </t>
  </si>
  <si>
    <t>Profit for the financial year</t>
  </si>
  <si>
    <t>Acquisition of a subsidiary company</t>
  </si>
  <si>
    <t>for the financial year</t>
  </si>
  <si>
    <t>Amortisation of discount on medium term notes</t>
  </si>
  <si>
    <t>Additions to property, plant and equipment</t>
  </si>
  <si>
    <t>Cash and cash equivalents at beginning of financial year</t>
  </si>
  <si>
    <t>Cash and cash equivalents at end of financial year</t>
  </si>
  <si>
    <t>Deferred tax liabilities</t>
  </si>
  <si>
    <t>Short term and fixed deposits with licensed banks</t>
  </si>
  <si>
    <t>Long term investments</t>
  </si>
  <si>
    <t>Net Cash Generated From/(Used In) Investing Activities</t>
  </si>
  <si>
    <t>YEAR COMPRISE THE FOLLOWING:</t>
  </si>
  <si>
    <t>Profit for the period/financial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</si>
</sst>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.00;\(\$#,##0.00\)"/>
    <numFmt numFmtId="166" formatCode="\$#,##0;\(\$#,##0\)"/>
    <numFmt numFmtId="167" formatCode="#,##0;\(#,##0\)"/>
    <numFmt numFmtId="168" formatCode="0.00_)"/>
    <numFmt numFmtId="169" formatCode="dd/mm/yyyy"/>
    <numFmt numFmtId="170" formatCode="#,##0,_);\(#,##0,\)"/>
  </numFmts>
  <fonts count="25">
    <font>
      <sz val="10"/>
      <name val="Helv"/>
      <family val="0"/>
    </font>
    <font>
      <i/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1"/>
      <name val="Times New Roman"/>
      <family val="1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1" fontId="4" fillId="0" borderId="0" applyFont="0" applyFill="0" applyBorder="0" applyAlignment="0" applyProtection="0"/>
    <xf numFmtId="167" fontId="6" fillId="0" borderId="0">
      <alignment/>
      <protection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5" fontId="6" fillId="0" borderId="0">
      <alignment/>
      <protection/>
    </xf>
    <xf numFmtId="0" fontId="7" fillId="0" borderId="0" applyProtection="0">
      <alignment/>
    </xf>
    <xf numFmtId="166" fontId="6" fillId="0" borderId="0">
      <alignment/>
      <protection/>
    </xf>
    <xf numFmtId="2" fontId="7" fillId="0" borderId="0" applyProtection="0">
      <alignment/>
    </xf>
    <xf numFmtId="0" fontId="17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8" fillId="0" borderId="0" applyNumberFormat="0" applyFill="0" applyBorder="0" applyAlignment="0" applyProtection="0"/>
    <xf numFmtId="168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7" fillId="0" borderId="1" applyProtection="0">
      <alignment/>
    </xf>
  </cellStyleXfs>
  <cellXfs count="188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4" fontId="13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13" fillId="0" borderId="1" xfId="15" applyNumberFormat="1" applyFont="1" applyBorder="1" applyAlignment="1">
      <alignment/>
    </xf>
    <xf numFmtId="164" fontId="13" fillId="0" borderId="2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9" fillId="0" borderId="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5" applyNumberFormat="1" applyFont="1" applyBorder="1" applyAlignment="1">
      <alignment horizontal="right"/>
    </xf>
    <xf numFmtId="164" fontId="7" fillId="0" borderId="3" xfId="15" applyNumberFormat="1" applyFont="1" applyBorder="1" applyAlignment="1">
      <alignment horizontal="right"/>
    </xf>
    <xf numFmtId="164" fontId="7" fillId="0" borderId="0" xfId="15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4" fontId="7" fillId="0" borderId="0" xfId="15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164" fontId="7" fillId="0" borderId="3" xfId="15" applyNumberFormat="1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 quotePrefix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164" fontId="13" fillId="2" borderId="2" xfId="0" applyNumberFormat="1" applyFont="1" applyFill="1" applyBorder="1" applyAlignment="1">
      <alignment horizontal="right"/>
    </xf>
    <xf numFmtId="164" fontId="13" fillId="2" borderId="0" xfId="15" applyNumberFormat="1" applyFont="1" applyFill="1" applyBorder="1" applyAlignment="1">
      <alignment/>
    </xf>
    <xf numFmtId="164" fontId="13" fillId="2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/>
    </xf>
    <xf numFmtId="37" fontId="11" fillId="0" borderId="0" xfId="0" applyNumberFormat="1" applyFont="1" applyAlignment="1">
      <alignment/>
    </xf>
    <xf numFmtId="164" fontId="7" fillId="0" borderId="0" xfId="15" applyNumberFormat="1" applyFont="1" applyAlignment="1">
      <alignment horizontal="center"/>
    </xf>
    <xf numFmtId="0" fontId="9" fillId="0" borderId="0" xfId="0" applyNumberFormat="1" applyFont="1" applyAlignment="1" quotePrefix="1">
      <alignment horizontal="center"/>
    </xf>
    <xf numFmtId="14" fontId="7" fillId="0" borderId="0" xfId="0" applyNumberFormat="1" applyFont="1" applyAlignment="1">
      <alignment horizontal="center"/>
    </xf>
    <xf numFmtId="164" fontId="9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7" fillId="0" borderId="0" xfId="15" applyNumberFormat="1" applyFont="1" applyAlignment="1">
      <alignment horizontal="centerContinuous"/>
    </xf>
    <xf numFmtId="164" fontId="9" fillId="0" borderId="0" xfId="15" applyNumberFormat="1" applyFont="1" applyAlignment="1">
      <alignment horizontal="centerContinuous"/>
    </xf>
    <xf numFmtId="164" fontId="7" fillId="0" borderId="3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164" fontId="9" fillId="0" borderId="0" xfId="15" applyNumberFormat="1" applyFont="1" applyAlignment="1">
      <alignment/>
    </xf>
    <xf numFmtId="43" fontId="7" fillId="0" borderId="4" xfId="15" applyFont="1" applyBorder="1" applyAlignment="1">
      <alignment horizontal="right"/>
    </xf>
    <xf numFmtId="43" fontId="7" fillId="0" borderId="0" xfId="15" applyFont="1" applyAlignment="1">
      <alignment horizontal="right"/>
    </xf>
    <xf numFmtId="164" fontId="9" fillId="0" borderId="4" xfId="15" applyNumberFormat="1" applyFont="1" applyBorder="1" applyAlignment="1">
      <alignment horizontal="right"/>
    </xf>
    <xf numFmtId="164" fontId="9" fillId="0" borderId="0" xfId="15" applyNumberFormat="1" applyFont="1" applyBorder="1" applyAlignment="1">
      <alignment horizontal="right"/>
    </xf>
    <xf numFmtId="0" fontId="7" fillId="0" borderId="0" xfId="40" applyFont="1">
      <alignment/>
      <protection/>
    </xf>
    <xf numFmtId="164" fontId="9" fillId="0" borderId="0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/>
    </xf>
    <xf numFmtId="164" fontId="7" fillId="0" borderId="6" xfId="15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164" fontId="9" fillId="0" borderId="0" xfId="15" applyNumberFormat="1" applyFont="1" applyBorder="1" applyAlignment="1">
      <alignment horizontal="centerContinuous"/>
    </xf>
    <xf numFmtId="164" fontId="7" fillId="0" borderId="6" xfId="15" applyNumberFormat="1" applyFont="1" applyBorder="1" applyAlignment="1">
      <alignment horizontal="right"/>
    </xf>
    <xf numFmtId="164" fontId="7" fillId="0" borderId="7" xfId="15" applyNumberFormat="1" applyFont="1" applyBorder="1" applyAlignment="1">
      <alignment horizontal="right"/>
    </xf>
    <xf numFmtId="0" fontId="7" fillId="0" borderId="0" xfId="39" applyFont="1">
      <alignment/>
      <protection/>
    </xf>
    <xf numFmtId="0" fontId="7" fillId="0" borderId="0" xfId="39" applyFont="1" applyAlignment="1">
      <alignment horizontal="center"/>
      <protection/>
    </xf>
    <xf numFmtId="0" fontId="9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0" fontId="9" fillId="0" borderId="0" xfId="39" applyFont="1">
      <alignment/>
      <protection/>
    </xf>
    <xf numFmtId="0" fontId="9" fillId="0" borderId="0" xfId="39" applyFont="1" applyAlignment="1">
      <alignment horizontal="center"/>
      <protection/>
    </xf>
    <xf numFmtId="0" fontId="9" fillId="0" borderId="0" xfId="39" applyFont="1" applyBorder="1" applyAlignment="1">
      <alignment horizontal="center"/>
      <protection/>
    </xf>
    <xf numFmtId="0" fontId="19" fillId="0" borderId="0" xfId="39" applyFont="1">
      <alignment/>
      <protection/>
    </xf>
    <xf numFmtId="0" fontId="9" fillId="0" borderId="0" xfId="40" applyFont="1">
      <alignment/>
      <protection/>
    </xf>
    <xf numFmtId="0" fontId="9" fillId="0" borderId="0" xfId="40" applyFont="1" applyFill="1">
      <alignment/>
      <protection/>
    </xf>
    <xf numFmtId="38" fontId="9" fillId="0" borderId="0" xfId="38" applyNumberFormat="1" applyFont="1">
      <alignment/>
      <protection/>
    </xf>
    <xf numFmtId="38" fontId="20" fillId="0" borderId="0" xfId="38" applyNumberFormat="1" applyFont="1">
      <alignment/>
      <protection/>
    </xf>
    <xf numFmtId="38" fontId="7" fillId="0" borderId="0" xfId="40" applyNumberFormat="1" applyFont="1">
      <alignment/>
      <protection/>
    </xf>
    <xf numFmtId="38" fontId="7" fillId="0" borderId="0" xfId="15" applyNumberFormat="1" applyFont="1" applyAlignment="1">
      <alignment/>
    </xf>
    <xf numFmtId="38" fontId="7" fillId="0" borderId="0" xfId="38" applyNumberFormat="1" applyFont="1">
      <alignment/>
      <protection/>
    </xf>
    <xf numFmtId="38" fontId="7" fillId="0" borderId="0" xfId="38" applyNumberFormat="1" applyFont="1" applyAlignment="1">
      <alignment/>
      <protection/>
    </xf>
    <xf numFmtId="38" fontId="7" fillId="0" borderId="0" xfId="38" applyNumberFormat="1" applyFont="1" applyAlignment="1">
      <alignment horizontal="left" indent="1"/>
      <protection/>
    </xf>
    <xf numFmtId="164" fontId="7" fillId="0" borderId="8" xfId="15" applyNumberFormat="1" applyFont="1" applyFill="1" applyBorder="1" applyAlignment="1">
      <alignment/>
    </xf>
    <xf numFmtId="38" fontId="20" fillId="0" borderId="0" xfId="38" applyNumberFormat="1" applyFont="1" applyAlignment="1">
      <alignment/>
      <protection/>
    </xf>
    <xf numFmtId="164" fontId="7" fillId="0" borderId="1" xfId="15" applyNumberFormat="1" applyFont="1" applyFill="1" applyBorder="1" applyAlignment="1">
      <alignment/>
    </xf>
    <xf numFmtId="0" fontId="7" fillId="0" borderId="0" xfId="41" applyFont="1">
      <alignment/>
      <protection/>
    </xf>
    <xf numFmtId="43" fontId="7" fillId="0" borderId="0" xfId="15" applyNumberFormat="1" applyFont="1" applyBorder="1" applyAlignment="1">
      <alignment/>
    </xf>
    <xf numFmtId="38" fontId="9" fillId="0" borderId="0" xfId="38" applyNumberFormat="1" applyFont="1" applyAlignment="1">
      <alignment/>
      <protection/>
    </xf>
    <xf numFmtId="0" fontId="9" fillId="0" borderId="0" xfId="37" applyFont="1">
      <alignment/>
      <protection/>
    </xf>
    <xf numFmtId="0" fontId="7" fillId="0" borderId="0" xfId="37" applyFont="1">
      <alignment/>
      <protection/>
    </xf>
    <xf numFmtId="0" fontId="9" fillId="0" borderId="0" xfId="37" applyFont="1" applyAlignment="1">
      <alignment horizontal="center"/>
      <protection/>
    </xf>
    <xf numFmtId="0" fontId="7" fillId="0" borderId="0" xfId="37" applyFont="1" applyAlignment="1">
      <alignment horizontal="center"/>
      <protection/>
    </xf>
    <xf numFmtId="0" fontId="7" fillId="0" borderId="0" xfId="37" applyFont="1" quotePrefix="1">
      <alignment/>
      <protection/>
    </xf>
    <xf numFmtId="0" fontId="7" fillId="0" borderId="0" xfId="37" applyFont="1" applyBorder="1" quotePrefix="1">
      <alignment/>
      <protection/>
    </xf>
    <xf numFmtId="0" fontId="7" fillId="0" borderId="0" xfId="37" applyFont="1" applyBorder="1">
      <alignment/>
      <protection/>
    </xf>
    <xf numFmtId="43" fontId="9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7" fillId="0" borderId="0" xfId="15" applyNumberFormat="1" applyFont="1" applyBorder="1" applyAlignment="1">
      <alignment horizontal="center"/>
    </xf>
    <xf numFmtId="0" fontId="9" fillId="0" borderId="0" xfId="37" applyFont="1" applyBorder="1" applyAlignment="1">
      <alignment horizontal="center"/>
      <protection/>
    </xf>
    <xf numFmtId="0" fontId="7" fillId="0" borderId="0" xfId="37" applyFont="1" applyBorder="1" applyAlignment="1">
      <alignment horizontal="center"/>
      <protection/>
    </xf>
    <xf numFmtId="43" fontId="7" fillId="0" borderId="0" xfId="15" applyNumberFormat="1" applyFont="1" applyBorder="1" applyAlignment="1">
      <alignment horizontal="left"/>
    </xf>
    <xf numFmtId="43" fontId="9" fillId="0" borderId="4" xfId="15" applyNumberFormat="1" applyFont="1" applyBorder="1" applyAlignment="1">
      <alignment/>
    </xf>
    <xf numFmtId="0" fontId="7" fillId="0" borderId="0" xfId="40" applyFont="1" applyAlignment="1">
      <alignment horizontal="center"/>
      <protection/>
    </xf>
    <xf numFmtId="43" fontId="9" fillId="0" borderId="4" xfId="15" applyFont="1" applyBorder="1" applyAlignment="1">
      <alignment horizontal="right"/>
    </xf>
    <xf numFmtId="164" fontId="10" fillId="0" borderId="0" xfId="0" applyNumberFormat="1" applyFont="1" applyAlignment="1">
      <alignment/>
    </xf>
    <xf numFmtId="0" fontId="9" fillId="0" borderId="0" xfId="40" applyFont="1" applyAlignment="1">
      <alignment horizontal="center"/>
      <protection/>
    </xf>
    <xf numFmtId="38" fontId="9" fillId="0" borderId="0" xfId="15" applyNumberFormat="1" applyFont="1" applyAlignment="1">
      <alignment/>
    </xf>
    <xf numFmtId="37" fontId="9" fillId="0" borderId="0" xfId="40" applyNumberFormat="1" applyFont="1">
      <alignment/>
      <protection/>
    </xf>
    <xf numFmtId="41" fontId="9" fillId="0" borderId="0" xfId="0" applyNumberFormat="1" applyFont="1" applyFill="1" applyBorder="1" applyAlignment="1">
      <alignment/>
    </xf>
    <xf numFmtId="164" fontId="7" fillId="0" borderId="1" xfId="15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164" fontId="7" fillId="0" borderId="7" xfId="15" applyNumberFormat="1" applyFont="1" applyBorder="1" applyAlignment="1">
      <alignment/>
    </xf>
    <xf numFmtId="164" fontId="7" fillId="0" borderId="5" xfId="15" applyNumberFormat="1" applyFont="1" applyBorder="1" applyAlignment="1">
      <alignment horizontal="right"/>
    </xf>
    <xf numFmtId="164" fontId="7" fillId="0" borderId="9" xfId="15" applyNumberFormat="1" applyFont="1" applyBorder="1" applyAlignment="1">
      <alignment horizontal="right"/>
    </xf>
    <xf numFmtId="164" fontId="7" fillId="0" borderId="9" xfId="15" applyNumberFormat="1" applyFont="1" applyBorder="1" applyAlignment="1">
      <alignment/>
    </xf>
    <xf numFmtId="169" fontId="9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37" applyNumberFormat="1" applyFont="1" applyAlignment="1">
      <alignment horizontal="center"/>
      <protection/>
    </xf>
    <xf numFmtId="43" fontId="7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7" fillId="0" borderId="0" xfId="37" applyNumberFormat="1" applyFont="1" applyAlignment="1">
      <alignment horizontal="right"/>
      <protection/>
    </xf>
    <xf numFmtId="0" fontId="7" fillId="0" borderId="0" xfId="37" applyFont="1" applyAlignment="1">
      <alignment horizontal="right"/>
      <protection/>
    </xf>
    <xf numFmtId="169" fontId="9" fillId="0" borderId="0" xfId="37" applyNumberFormat="1" applyFont="1" applyAlignment="1">
      <alignment horizontal="right"/>
      <protection/>
    </xf>
    <xf numFmtId="0" fontId="9" fillId="0" borderId="0" xfId="37" applyFont="1" applyAlignment="1">
      <alignment horizontal="right"/>
      <protection/>
    </xf>
    <xf numFmtId="164" fontId="0" fillId="0" borderId="0" xfId="0" applyNumberFormat="1" applyAlignment="1">
      <alignment/>
    </xf>
    <xf numFmtId="0" fontId="24" fillId="0" borderId="0" xfId="0" applyFont="1" applyAlignment="1">
      <alignment/>
    </xf>
    <xf numFmtId="170" fontId="9" fillId="0" borderId="0" xfId="15" applyNumberFormat="1" applyFont="1" applyAlignment="1">
      <alignment horizontal="right"/>
    </xf>
    <xf numFmtId="170" fontId="9" fillId="0" borderId="3" xfId="15" applyNumberFormat="1" applyFont="1" applyBorder="1" applyAlignment="1">
      <alignment horizontal="right"/>
    </xf>
    <xf numFmtId="170" fontId="9" fillId="0" borderId="0" xfId="15" applyNumberFormat="1" applyFont="1" applyBorder="1" applyAlignment="1">
      <alignment/>
    </xf>
    <xf numFmtId="170" fontId="9" fillId="0" borderId="3" xfId="15" applyNumberFormat="1" applyFont="1" applyBorder="1" applyAlignment="1">
      <alignment/>
    </xf>
    <xf numFmtId="170" fontId="9" fillId="0" borderId="1" xfId="15" applyNumberFormat="1" applyFont="1" applyBorder="1" applyAlignment="1">
      <alignment horizontal="right"/>
    </xf>
    <xf numFmtId="170" fontId="9" fillId="0" borderId="0" xfId="15" applyNumberFormat="1" applyFont="1" applyBorder="1" applyAlignment="1">
      <alignment horizontal="right"/>
    </xf>
    <xf numFmtId="170" fontId="9" fillId="0" borderId="5" xfId="15" applyNumberFormat="1" applyFont="1" applyBorder="1" applyAlignment="1">
      <alignment/>
    </xf>
    <xf numFmtId="170" fontId="9" fillId="0" borderId="6" xfId="15" applyNumberFormat="1" applyFont="1" applyBorder="1" applyAlignment="1">
      <alignment/>
    </xf>
    <xf numFmtId="170" fontId="9" fillId="0" borderId="7" xfId="15" applyNumberFormat="1" applyFont="1" applyBorder="1" applyAlignment="1">
      <alignment/>
    </xf>
    <xf numFmtId="170" fontId="9" fillId="0" borderId="2" xfId="15" applyNumberFormat="1" applyFont="1" applyBorder="1" applyAlignment="1">
      <alignment/>
    </xf>
    <xf numFmtId="170" fontId="9" fillId="0" borderId="7" xfId="15" applyNumberFormat="1" applyFont="1" applyBorder="1" applyAlignment="1">
      <alignment horizontal="right"/>
    </xf>
    <xf numFmtId="170" fontId="9" fillId="0" borderId="9" xfId="15" applyNumberFormat="1" applyFont="1" applyBorder="1" applyAlignment="1">
      <alignment horizontal="right"/>
    </xf>
    <xf numFmtId="170" fontId="9" fillId="0" borderId="5" xfId="15" applyNumberFormat="1" applyFont="1" applyBorder="1" applyAlignment="1">
      <alignment horizontal="right"/>
    </xf>
    <xf numFmtId="170" fontId="9" fillId="0" borderId="6" xfId="15" applyNumberFormat="1" applyFont="1" applyBorder="1" applyAlignment="1">
      <alignment horizontal="right"/>
    </xf>
    <xf numFmtId="170" fontId="9" fillId="0" borderId="3" xfId="15" applyNumberFormat="1" applyFont="1" applyBorder="1" applyAlignment="1">
      <alignment/>
    </xf>
    <xf numFmtId="170" fontId="9" fillId="0" borderId="9" xfId="15" applyNumberFormat="1" applyFont="1" applyBorder="1" applyAlignment="1">
      <alignment/>
    </xf>
    <xf numFmtId="170" fontId="7" fillId="0" borderId="0" xfId="15" applyNumberFormat="1" applyFont="1" applyAlignment="1">
      <alignment horizontal="right"/>
    </xf>
    <xf numFmtId="170" fontId="7" fillId="0" borderId="3" xfId="15" applyNumberFormat="1" applyFont="1" applyBorder="1" applyAlignment="1">
      <alignment horizontal="right"/>
    </xf>
    <xf numFmtId="170" fontId="7" fillId="0" borderId="8" xfId="15" applyNumberFormat="1" applyFont="1" applyBorder="1" applyAlignment="1">
      <alignment horizontal="right"/>
    </xf>
    <xf numFmtId="170" fontId="7" fillId="0" borderId="0" xfId="39" applyNumberFormat="1" applyFont="1" applyAlignment="1">
      <alignment horizontal="right"/>
      <protection/>
    </xf>
    <xf numFmtId="170" fontId="7" fillId="0" borderId="3" xfId="39" applyNumberFormat="1" applyFont="1" applyBorder="1" applyAlignment="1">
      <alignment horizontal="right"/>
      <protection/>
    </xf>
    <xf numFmtId="170" fontId="7" fillId="0" borderId="8" xfId="39" applyNumberFormat="1" applyFont="1" applyBorder="1" applyAlignment="1">
      <alignment horizontal="right"/>
      <protection/>
    </xf>
    <xf numFmtId="170" fontId="7" fillId="0" borderId="0" xfId="15" applyNumberFormat="1" applyFont="1" applyBorder="1" applyAlignment="1">
      <alignment horizontal="right"/>
    </xf>
    <xf numFmtId="170" fontId="7" fillId="0" borderId="0" xfId="39" applyNumberFormat="1" applyFont="1" applyBorder="1" applyAlignment="1">
      <alignment horizontal="right"/>
      <protection/>
    </xf>
    <xf numFmtId="170" fontId="9" fillId="0" borderId="0" xfId="39" applyNumberFormat="1" applyFont="1" applyAlignment="1">
      <alignment horizontal="right"/>
      <protection/>
    </xf>
    <xf numFmtId="43" fontId="7" fillId="0" borderId="3" xfId="15" applyFont="1" applyBorder="1" applyAlignment="1">
      <alignment horizontal="right"/>
    </xf>
    <xf numFmtId="43" fontId="7" fillId="0" borderId="0" xfId="15" applyFont="1" applyBorder="1" applyAlignment="1">
      <alignment horizontal="right"/>
    </xf>
    <xf numFmtId="43" fontId="7" fillId="0" borderId="8" xfId="15" applyFont="1" applyBorder="1" applyAlignment="1">
      <alignment horizontal="right"/>
    </xf>
    <xf numFmtId="170" fontId="24" fillId="0" borderId="0" xfId="15" applyNumberFormat="1" applyFont="1" applyAlignment="1">
      <alignment horizontal="right"/>
    </xf>
    <xf numFmtId="170" fontId="24" fillId="0" borderId="0" xfId="15" applyNumberFormat="1" applyFont="1" applyBorder="1" applyAlignment="1">
      <alignment horizontal="right"/>
    </xf>
    <xf numFmtId="170" fontId="24" fillId="0" borderId="0" xfId="39" applyNumberFormat="1" applyFont="1" applyAlignment="1">
      <alignment horizontal="right"/>
      <protection/>
    </xf>
    <xf numFmtId="170" fontId="9" fillId="0" borderId="0" xfId="15" applyNumberFormat="1" applyFont="1" applyFill="1" applyAlignment="1">
      <alignment/>
    </xf>
    <xf numFmtId="170" fontId="9" fillId="0" borderId="3" xfId="15" applyNumberFormat="1" applyFont="1" applyFill="1" applyBorder="1" applyAlignment="1">
      <alignment/>
    </xf>
    <xf numFmtId="170" fontId="9" fillId="0" borderId="0" xfId="15" applyNumberFormat="1" applyFont="1" applyFill="1" applyBorder="1" applyAlignment="1">
      <alignment/>
    </xf>
    <xf numFmtId="170" fontId="9" fillId="0" borderId="8" xfId="15" applyNumberFormat="1" applyFont="1" applyFill="1" applyBorder="1" applyAlignment="1">
      <alignment/>
    </xf>
    <xf numFmtId="170" fontId="9" fillId="0" borderId="0" xfId="15" applyNumberFormat="1" applyFont="1" applyAlignment="1">
      <alignment/>
    </xf>
    <xf numFmtId="170" fontId="9" fillId="0" borderId="1" xfId="15" applyNumberFormat="1" applyFont="1" applyFill="1" applyBorder="1" applyAlignment="1">
      <alignment/>
    </xf>
    <xf numFmtId="43" fontId="24" fillId="0" borderId="8" xfId="15" applyFont="1" applyBorder="1" applyAlignment="1">
      <alignment horizontal="right"/>
    </xf>
    <xf numFmtId="43" fontId="9" fillId="0" borderId="0" xfId="15" applyFont="1" applyAlignment="1">
      <alignment horizontal="right"/>
    </xf>
    <xf numFmtId="43" fontId="9" fillId="0" borderId="0" xfId="15" applyFont="1" applyBorder="1" applyAlignment="1">
      <alignment horizontal="right"/>
    </xf>
    <xf numFmtId="43" fontId="9" fillId="0" borderId="0" xfId="15" applyFont="1" applyFill="1" applyAlignment="1">
      <alignment/>
    </xf>
    <xf numFmtId="170" fontId="9" fillId="0" borderId="0" xfId="40" applyNumberFormat="1" applyFont="1">
      <alignment/>
      <protection/>
    </xf>
    <xf numFmtId="43" fontId="9" fillId="0" borderId="0" xfId="15" applyFont="1" applyFill="1" applyBorder="1" applyAlignment="1">
      <alignment/>
    </xf>
    <xf numFmtId="43" fontId="24" fillId="0" borderId="0" xfId="15" applyFont="1" applyBorder="1" applyAlignment="1">
      <alignment horizontal="right"/>
    </xf>
    <xf numFmtId="43" fontId="9" fillId="0" borderId="0" xfId="15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9" fillId="0" borderId="0" xfId="37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23" fillId="0" borderId="0" xfId="0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</cellXfs>
  <cellStyles count="30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 zerodec" xfId="25"/>
    <cellStyle name="Currency" xfId="26"/>
    <cellStyle name="Currency [0]" xfId="27"/>
    <cellStyle name="Currency1" xfId="28"/>
    <cellStyle name="Date" xfId="29"/>
    <cellStyle name="Dollar (zero dec)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Book2" xfId="37"/>
    <cellStyle name="Normal_celcom" xfId="38"/>
    <cellStyle name="Normal_klseqtrlycelcom0902" xfId="39"/>
    <cellStyle name="Normal_klseqtrlytri0902" xfId="40"/>
    <cellStyle name="Normal_SHEET" xfId="41"/>
    <cellStyle name="Percent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190500</xdr:rowOff>
    </xdr:from>
    <xdr:to>
      <xdr:col>8</xdr:col>
      <xdr:colOff>866775</xdr:colOff>
      <xdr:row>50</xdr:row>
      <xdr:rowOff>190500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8382000"/>
          <a:ext cx="7296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(The Condensed Consolidated Income Statements should be read in conjunction with the Annual Financial Report for the Financial Year Ended 31 March 2006)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9525</xdr:rowOff>
    </xdr:from>
    <xdr:to>
      <xdr:col>9</xdr:col>
      <xdr:colOff>885825</xdr:colOff>
      <xdr:row>66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2220575"/>
          <a:ext cx="7038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Balance Sheets should be read in conjunction with the Annual Financial Report for the Financial Year Ended 31 March 2006)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19050</xdr:rowOff>
    </xdr:from>
    <xdr:to>
      <xdr:col>15</xdr:col>
      <xdr:colOff>0</xdr:colOff>
      <xdr:row>41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276225" y="7562850"/>
          <a:ext cx="840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Statements of Changes in Equity should be read in conjunction with the Annual Financial Report for the Financial Year Ended 31 March 2006)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97</xdr:row>
      <xdr:rowOff>0</xdr:rowOff>
    </xdr:from>
    <xdr:to>
      <xdr:col>7</xdr:col>
      <xdr:colOff>952500</xdr:colOff>
      <xdr:row>99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7487900"/>
          <a:ext cx="6991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(The Condensed Consolidated Cash Flow Statements should be read in conjunction with the Annual Financial Report for the Financial Year Ended 31 March 2006)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rbs\klse%20quarter%20report-revised\klse%20quarter%20report\31mar2007\qtr-workings\RCE-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S"/>
      <sheetName val="CIS"/>
      <sheetName val="CFS"/>
      <sheetName val="Segmental analysis"/>
      <sheetName val="Seg Alys-RCEM-ok"/>
      <sheetName val="Seg Alys-Inv Hldg-ok"/>
      <sheetName val="SegAnlys-Consol-ok"/>
      <sheetName val="CA"/>
      <sheetName val="PA"/>
      <sheetName val="PLnotes3-07"/>
      <sheetName val="taxation"/>
      <sheetName val="BSnotes"/>
      <sheetName val="receivable(details)"/>
      <sheetName val="payables(details)"/>
      <sheetName val="Sheet1"/>
      <sheetName val="EPS32006"/>
      <sheetName val="EPS32007"/>
    </sheetNames>
    <sheetDataSet>
      <sheetData sheetId="0">
        <row r="11">
          <cell r="O11">
            <v>1734682</v>
          </cell>
        </row>
        <row r="12">
          <cell r="O12">
            <v>1759341</v>
          </cell>
        </row>
        <row r="14">
          <cell r="O14">
            <v>28676975</v>
          </cell>
        </row>
        <row r="15">
          <cell r="O15">
            <v>392079033</v>
          </cell>
        </row>
        <row r="16">
          <cell r="O16">
            <v>31557173</v>
          </cell>
        </row>
        <row r="17">
          <cell r="O17">
            <v>7764652</v>
          </cell>
        </row>
        <row r="20">
          <cell r="O20">
            <v>8499693</v>
          </cell>
        </row>
        <row r="21">
          <cell r="O21">
            <v>17088707</v>
          </cell>
        </row>
        <row r="22">
          <cell r="O22">
            <v>22258964</v>
          </cell>
        </row>
        <row r="23">
          <cell r="O23">
            <v>10746542</v>
          </cell>
        </row>
        <row r="27">
          <cell r="O27">
            <v>162627317</v>
          </cell>
        </row>
        <row r="28">
          <cell r="O28">
            <v>5355243</v>
          </cell>
        </row>
        <row r="36">
          <cell r="O36">
            <v>38151260</v>
          </cell>
        </row>
        <row r="37">
          <cell r="O37">
            <v>55577.73</v>
          </cell>
        </row>
        <row r="38">
          <cell r="O38">
            <v>206806</v>
          </cell>
        </row>
        <row r="39">
          <cell r="O39">
            <v>17257504</v>
          </cell>
        </row>
        <row r="41">
          <cell r="O41">
            <v>3153403</v>
          </cell>
        </row>
        <row r="51">
          <cell r="O51">
            <v>90750616</v>
          </cell>
        </row>
        <row r="52">
          <cell r="O52">
            <v>340573726</v>
          </cell>
        </row>
        <row r="53">
          <cell r="O53">
            <v>38000000</v>
          </cell>
        </row>
        <row r="54">
          <cell r="O54">
            <v>56312</v>
          </cell>
        </row>
        <row r="55">
          <cell r="O55">
            <v>145217.07999999996</v>
          </cell>
        </row>
        <row r="56">
          <cell r="O56">
            <v>61999</v>
          </cell>
        </row>
        <row r="68">
          <cell r="O68">
            <v>64633764</v>
          </cell>
        </row>
        <row r="69">
          <cell r="O69">
            <v>3563039</v>
          </cell>
        </row>
        <row r="72">
          <cell r="O72">
            <v>93539098</v>
          </cell>
        </row>
      </sheetData>
      <sheetData sheetId="1">
        <row r="11">
          <cell r="P11">
            <v>98671353.08000001</v>
          </cell>
          <cell r="U11">
            <v>30974149.080000013</v>
          </cell>
        </row>
        <row r="13">
          <cell r="P13">
            <v>3756721.919999987</v>
          </cell>
          <cell r="U13">
            <v>1469859.919999987</v>
          </cell>
        </row>
        <row r="14">
          <cell r="P14">
            <v>20398965</v>
          </cell>
          <cell r="U14">
            <v>0</v>
          </cell>
        </row>
        <row r="16">
          <cell r="P16">
            <v>-2456634</v>
          </cell>
          <cell r="U16">
            <v>-1046856</v>
          </cell>
        </row>
        <row r="17">
          <cell r="P17">
            <v>-400821</v>
          </cell>
          <cell r="U17">
            <v>-89914</v>
          </cell>
        </row>
        <row r="18">
          <cell r="P18">
            <v>-3506353</v>
          </cell>
          <cell r="U18">
            <v>0</v>
          </cell>
        </row>
        <row r="19">
          <cell r="P19">
            <v>-39809877</v>
          </cell>
          <cell r="U19">
            <v>-10064482</v>
          </cell>
        </row>
        <row r="26">
          <cell r="P26">
            <v>-2893545</v>
          </cell>
          <cell r="U26">
            <v>-899715</v>
          </cell>
        </row>
        <row r="36">
          <cell r="P36">
            <v>-10388532</v>
          </cell>
          <cell r="U36">
            <v>-4413376</v>
          </cell>
        </row>
      </sheetData>
      <sheetData sheetId="2">
        <row r="14">
          <cell r="B14">
            <v>400821</v>
          </cell>
        </row>
        <row r="15">
          <cell r="B15">
            <v>29294778</v>
          </cell>
        </row>
        <row r="16">
          <cell r="B16">
            <v>3116568</v>
          </cell>
        </row>
        <row r="18">
          <cell r="B18">
            <v>642725</v>
          </cell>
        </row>
        <row r="19">
          <cell r="B19">
            <v>3506353</v>
          </cell>
        </row>
        <row r="26">
          <cell r="B26">
            <v>-3096991</v>
          </cell>
        </row>
        <row r="27">
          <cell r="B27">
            <v>-20398965</v>
          </cell>
        </row>
        <row r="28">
          <cell r="B28">
            <v>0</v>
          </cell>
        </row>
        <row r="31">
          <cell r="B31">
            <v>-3641470</v>
          </cell>
        </row>
        <row r="48">
          <cell r="B48">
            <v>-11510789</v>
          </cell>
        </row>
        <row r="49">
          <cell r="B49">
            <v>1343979</v>
          </cell>
        </row>
        <row r="58">
          <cell r="B58">
            <v>-6665118</v>
          </cell>
        </row>
        <row r="59">
          <cell r="B59">
            <v>-4499693</v>
          </cell>
        </row>
        <row r="62">
          <cell r="B62">
            <v>-572281</v>
          </cell>
        </row>
        <row r="64">
          <cell r="B64">
            <v>3096991</v>
          </cell>
        </row>
        <row r="65">
          <cell r="B65">
            <v>3605050</v>
          </cell>
        </row>
        <row r="71">
          <cell r="B71">
            <v>219931001</v>
          </cell>
        </row>
        <row r="73">
          <cell r="B73">
            <v>-18000000</v>
          </cell>
        </row>
        <row r="75">
          <cell r="B75">
            <v>-2893545</v>
          </cell>
        </row>
        <row r="76">
          <cell r="B76">
            <v>5718100</v>
          </cell>
          <cell r="AD76">
            <v>2110000</v>
          </cell>
          <cell r="AE76">
            <v>3608100</v>
          </cell>
        </row>
        <row r="77">
          <cell r="B77">
            <v>-295820</v>
          </cell>
          <cell r="AE77">
            <v>-295820</v>
          </cell>
        </row>
        <row r="78">
          <cell r="B78">
            <v>-145436</v>
          </cell>
        </row>
        <row r="79">
          <cell r="B79">
            <v>-79632</v>
          </cell>
        </row>
      </sheetData>
      <sheetData sheetId="16">
        <row r="20">
          <cell r="I20">
            <v>646337640</v>
          </cell>
        </row>
        <row r="43">
          <cell r="I43">
            <v>635065037.2602739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="80" zoomScaleNormal="80" workbookViewId="0" topLeftCell="A1">
      <selection activeCell="C25" sqref="C25:H25"/>
    </sheetView>
  </sheetViews>
  <sheetFormatPr defaultColWidth="9.140625" defaultRowHeight="12.75"/>
  <cols>
    <col min="1" max="1" width="3.00390625" style="97" customWidth="1"/>
    <col min="2" max="2" width="45.140625" style="97" customWidth="1"/>
    <col min="3" max="3" width="14.7109375" style="98" customWidth="1"/>
    <col min="4" max="4" width="2.00390625" style="99" customWidth="1"/>
    <col min="5" max="5" width="17.8515625" style="99" bestFit="1" customWidth="1"/>
    <col min="6" max="6" width="2.140625" style="99" customWidth="1"/>
    <col min="7" max="7" width="15.28125" style="99" customWidth="1"/>
    <col min="8" max="8" width="0.9921875" style="99" customWidth="1"/>
    <col min="9" max="9" width="22.7109375" style="99" bestFit="1" customWidth="1"/>
    <col min="10" max="16384" width="9.140625" style="97" customWidth="1"/>
  </cols>
  <sheetData>
    <row r="1" ht="15.75">
      <c r="A1" s="96" t="s">
        <v>56</v>
      </c>
    </row>
    <row r="2" ht="15.75">
      <c r="A2" s="96" t="s">
        <v>57</v>
      </c>
    </row>
    <row r="4" ht="15.75">
      <c r="A4" s="96" t="s">
        <v>0</v>
      </c>
    </row>
    <row r="6" ht="15.75">
      <c r="A6" s="96" t="s">
        <v>173</v>
      </c>
    </row>
    <row r="8" ht="15.75">
      <c r="A8" s="96"/>
    </row>
    <row r="10" spans="3:9" ht="15.75">
      <c r="C10" s="182" t="s">
        <v>1</v>
      </c>
      <c r="D10" s="182"/>
      <c r="E10" s="182"/>
      <c r="G10" s="182" t="s">
        <v>2</v>
      </c>
      <c r="H10" s="182"/>
      <c r="I10" s="182"/>
    </row>
    <row r="11" spans="3:9" ht="15.75">
      <c r="C11" s="131">
        <f>+G11</f>
        <v>39172</v>
      </c>
      <c r="D11" s="129"/>
      <c r="E11" s="129">
        <f>+I11</f>
        <v>38807</v>
      </c>
      <c r="F11" s="126"/>
      <c r="G11" s="131">
        <v>39172</v>
      </c>
      <c r="H11" s="126"/>
      <c r="I11" s="129">
        <v>38807</v>
      </c>
    </row>
    <row r="12" spans="3:9" ht="15.75">
      <c r="C12" s="132" t="s">
        <v>5</v>
      </c>
      <c r="D12" s="130"/>
      <c r="E12" s="130" t="s">
        <v>5</v>
      </c>
      <c r="G12" s="132" t="s">
        <v>5</v>
      </c>
      <c r="I12" s="130" t="s">
        <v>5</v>
      </c>
    </row>
    <row r="13" spans="6:7" ht="15.75">
      <c r="F13" s="99" t="s">
        <v>15</v>
      </c>
      <c r="G13" s="98"/>
    </row>
    <row r="14" spans="1:9" ht="15.75">
      <c r="A14" s="100" t="s">
        <v>49</v>
      </c>
      <c r="B14" s="97" t="s">
        <v>7</v>
      </c>
      <c r="C14" s="140">
        <f>+'Income Statement'!C19</f>
        <v>30974149.080000013</v>
      </c>
      <c r="D14" s="23"/>
      <c r="E14" s="23">
        <f>+'Income Statement'!E19</f>
        <v>18974</v>
      </c>
      <c r="F14" s="23"/>
      <c r="G14" s="140">
        <f>+'Income Statement'!G19</f>
        <v>98671353.08000001</v>
      </c>
      <c r="H14" s="23"/>
      <c r="I14" s="23">
        <f>+'Income Statement'!I19</f>
        <v>57478</v>
      </c>
    </row>
    <row r="15" spans="3:9" ht="15.75">
      <c r="C15" s="135"/>
      <c r="D15" s="50"/>
      <c r="E15" s="50"/>
      <c r="F15" s="50"/>
      <c r="G15" s="135"/>
      <c r="H15" s="50"/>
      <c r="I15" s="50"/>
    </row>
    <row r="16" spans="1:9" s="102" customFormat="1" ht="15.75">
      <c r="A16" s="101" t="s">
        <v>50</v>
      </c>
      <c r="B16" s="102" t="s">
        <v>121</v>
      </c>
      <c r="C16" s="140">
        <f>+'Income Statement'!C33</f>
        <v>20343042</v>
      </c>
      <c r="D16" s="23"/>
      <c r="E16" s="23">
        <f>+'Income Statement'!E33</f>
        <v>7033</v>
      </c>
      <c r="F16" s="23"/>
      <c r="G16" s="140">
        <f>+'Income Statement'!G33</f>
        <v>73759910</v>
      </c>
      <c r="H16" s="23"/>
      <c r="I16" s="23">
        <f>+'Income Statement'!I33</f>
        <v>23512</v>
      </c>
    </row>
    <row r="17" spans="3:9" s="102" customFormat="1" ht="15.75">
      <c r="C17" s="140"/>
      <c r="D17" s="23"/>
      <c r="E17" s="23"/>
      <c r="F17" s="23"/>
      <c r="G17" s="140"/>
      <c r="H17" s="23"/>
      <c r="I17" s="23"/>
    </row>
    <row r="18" spans="1:9" s="102" customFormat="1" ht="15.75">
      <c r="A18" s="101" t="s">
        <v>51</v>
      </c>
      <c r="B18" s="102" t="s">
        <v>174</v>
      </c>
      <c r="C18" s="140">
        <f>'Income Statement'!C36</f>
        <v>15929666</v>
      </c>
      <c r="D18" s="23"/>
      <c r="E18" s="23">
        <f>'Income Statement'!E36</f>
        <v>8037</v>
      </c>
      <c r="F18" s="23"/>
      <c r="G18" s="140">
        <f>'Income Statement'!G36</f>
        <v>63371378</v>
      </c>
      <c r="H18" s="23"/>
      <c r="I18" s="23">
        <f>'Income Statement'!I36</f>
        <v>22315</v>
      </c>
    </row>
    <row r="19" spans="1:9" s="102" customFormat="1" ht="15.75">
      <c r="A19" s="101"/>
      <c r="C19" s="140"/>
      <c r="D19" s="23"/>
      <c r="E19" s="23"/>
      <c r="F19" s="23"/>
      <c r="G19" s="140"/>
      <c r="H19" s="23"/>
      <c r="I19" s="23"/>
    </row>
    <row r="20" spans="1:9" s="102" customFormat="1" ht="15.75">
      <c r="A20" s="101" t="s">
        <v>52</v>
      </c>
      <c r="B20" s="102" t="s">
        <v>122</v>
      </c>
      <c r="C20" s="140"/>
      <c r="D20" s="23"/>
      <c r="E20" s="23"/>
      <c r="F20" s="23"/>
      <c r="G20" s="140"/>
      <c r="H20" s="23"/>
      <c r="I20" s="23"/>
    </row>
    <row r="21" spans="2:9" s="102" customFormat="1" ht="15.75">
      <c r="B21" s="102" t="s">
        <v>123</v>
      </c>
      <c r="C21" s="140">
        <f>'Income Statement'!C39</f>
        <v>15929666</v>
      </c>
      <c r="D21" s="23"/>
      <c r="E21" s="23">
        <f>'Income Statement'!E39</f>
        <v>7346</v>
      </c>
      <c r="F21" s="23"/>
      <c r="G21" s="140">
        <f>'Income Statement'!G39</f>
        <v>63371378</v>
      </c>
      <c r="H21" s="23"/>
      <c r="I21" s="23">
        <f>'Income Statement'!I39</f>
        <v>19791</v>
      </c>
    </row>
    <row r="22" spans="3:9" s="102" customFormat="1" ht="15.75">
      <c r="C22" s="64"/>
      <c r="D22" s="23"/>
      <c r="E22" s="23"/>
      <c r="F22" s="23"/>
      <c r="G22" s="64"/>
      <c r="H22" s="23"/>
      <c r="I22" s="23"/>
    </row>
    <row r="23" spans="1:9" s="102" customFormat="1" ht="15.75">
      <c r="A23" s="101" t="s">
        <v>53</v>
      </c>
      <c r="B23" s="102" t="s">
        <v>59</v>
      </c>
      <c r="C23" s="179">
        <f>+'Income Statement'!C46</f>
        <v>2.46</v>
      </c>
      <c r="D23" s="23"/>
      <c r="E23" s="104">
        <f>'Income Statement'!E46</f>
        <v>1.37</v>
      </c>
      <c r="F23" s="23"/>
      <c r="G23" s="179">
        <f>+'Income Statement'!G46</f>
        <v>9.98</v>
      </c>
      <c r="H23" s="23"/>
      <c r="I23" s="104">
        <f>+'Income Statement'!I46</f>
        <v>3.69</v>
      </c>
    </row>
    <row r="24" spans="3:9" s="102" customFormat="1" ht="15.75">
      <c r="C24" s="64"/>
      <c r="D24" s="23"/>
      <c r="E24" s="23"/>
      <c r="F24" s="23"/>
      <c r="G24" s="64"/>
      <c r="H24" s="23"/>
      <c r="I24" s="23"/>
    </row>
    <row r="25" spans="1:9" s="102" customFormat="1" ht="15.75">
      <c r="A25" s="101" t="s">
        <v>54</v>
      </c>
      <c r="B25" s="102" t="s">
        <v>124</v>
      </c>
      <c r="C25" s="174">
        <v>1</v>
      </c>
      <c r="D25" s="104"/>
      <c r="E25" s="104">
        <v>0</v>
      </c>
      <c r="F25" s="104"/>
      <c r="G25" s="174">
        <v>1</v>
      </c>
      <c r="H25" s="104"/>
      <c r="I25" s="23">
        <v>0</v>
      </c>
    </row>
    <row r="26" spans="1:9" s="102" customFormat="1" ht="15.75">
      <c r="A26" s="101"/>
      <c r="C26" s="66"/>
      <c r="D26" s="23"/>
      <c r="E26" s="23"/>
      <c r="F26" s="23"/>
      <c r="G26" s="64"/>
      <c r="H26" s="23"/>
      <c r="I26" s="23"/>
    </row>
    <row r="27" ht="12.75"/>
    <row r="28" spans="5:9" ht="12.75">
      <c r="E28" s="128" t="s">
        <v>127</v>
      </c>
      <c r="I28" s="128" t="s">
        <v>129</v>
      </c>
    </row>
    <row r="29" spans="5:9" ht="12.75">
      <c r="E29" s="128" t="s">
        <v>128</v>
      </c>
      <c r="I29" s="128" t="s">
        <v>130</v>
      </c>
    </row>
    <row r="30" spans="5:9" ht="12.75">
      <c r="E30" s="128" t="s">
        <v>48</v>
      </c>
      <c r="I30" s="128" t="s">
        <v>131</v>
      </c>
    </row>
    <row r="31" spans="1:9" s="102" customFormat="1" ht="15.75">
      <c r="A31" s="101" t="s">
        <v>55</v>
      </c>
      <c r="B31" s="102" t="s">
        <v>125</v>
      </c>
      <c r="C31" s="66"/>
      <c r="D31" s="23"/>
      <c r="E31" s="23"/>
      <c r="F31" s="23"/>
      <c r="G31" s="66"/>
      <c r="H31" s="23"/>
      <c r="I31" s="23"/>
    </row>
    <row r="32" spans="2:9" s="102" customFormat="1" ht="15.75">
      <c r="B32" s="102" t="s">
        <v>126</v>
      </c>
      <c r="C32" s="66"/>
      <c r="D32" s="108"/>
      <c r="E32" s="127">
        <f>+BalanceSheet!H62</f>
        <v>0.25023438368837686</v>
      </c>
      <c r="F32" s="105"/>
      <c r="G32" s="103"/>
      <c r="H32" s="105"/>
      <c r="I32" s="127">
        <f>+BalanceSheet!J62</f>
        <v>0.19820100313907466</v>
      </c>
    </row>
    <row r="33" spans="1:9" s="102" customFormat="1" ht="15.75">
      <c r="A33" s="101"/>
      <c r="C33" s="66"/>
      <c r="D33" s="23"/>
      <c r="E33" s="23"/>
      <c r="F33" s="23"/>
      <c r="G33" s="66"/>
      <c r="H33" s="23"/>
      <c r="I33" s="23"/>
    </row>
    <row r="34" spans="1:9" s="102" customFormat="1" ht="15.75">
      <c r="A34" s="101"/>
      <c r="C34" s="66"/>
      <c r="D34" s="23"/>
      <c r="E34" s="23"/>
      <c r="F34" s="23"/>
      <c r="G34" s="66"/>
      <c r="H34" s="23"/>
      <c r="I34" s="23"/>
    </row>
    <row r="35" spans="3:9" s="102" customFormat="1" ht="15.75">
      <c r="C35" s="66"/>
      <c r="D35" s="23"/>
      <c r="E35" s="23"/>
      <c r="F35" s="23"/>
      <c r="G35" s="66"/>
      <c r="H35" s="23"/>
      <c r="I35" s="23"/>
    </row>
    <row r="36" spans="3:9" s="102" customFormat="1" ht="15.75">
      <c r="C36" s="66"/>
      <c r="D36" s="23"/>
      <c r="E36" s="23"/>
      <c r="F36" s="23"/>
      <c r="G36" s="66"/>
      <c r="H36" s="23"/>
      <c r="I36" s="23"/>
    </row>
    <row r="37" spans="3:9" s="102" customFormat="1" ht="15.75">
      <c r="C37" s="66"/>
      <c r="D37" s="23"/>
      <c r="E37" s="23"/>
      <c r="F37" s="23"/>
      <c r="G37" s="66"/>
      <c r="H37" s="23"/>
      <c r="I37" s="23"/>
    </row>
    <row r="38" spans="3:9" s="102" customFormat="1" ht="15.75">
      <c r="C38" s="66"/>
      <c r="D38" s="23"/>
      <c r="E38" s="23"/>
      <c r="F38" s="23"/>
      <c r="G38" s="66"/>
      <c r="H38" s="23"/>
      <c r="I38" s="23"/>
    </row>
    <row r="39" spans="3:9" s="102" customFormat="1" ht="15.75">
      <c r="C39" s="66"/>
      <c r="D39" s="23"/>
      <c r="E39" s="23"/>
      <c r="F39" s="23"/>
      <c r="G39" s="66"/>
      <c r="H39" s="23"/>
      <c r="I39" s="23"/>
    </row>
    <row r="40" spans="3:9" s="102" customFormat="1" ht="15.75">
      <c r="C40" s="66"/>
      <c r="D40" s="23"/>
      <c r="E40" s="23"/>
      <c r="F40" s="23"/>
      <c r="G40" s="66"/>
      <c r="H40" s="23"/>
      <c r="I40" s="23"/>
    </row>
    <row r="41" spans="3:9" s="102" customFormat="1" ht="15.75">
      <c r="C41" s="66"/>
      <c r="D41" s="23"/>
      <c r="E41" s="23"/>
      <c r="F41" s="23"/>
      <c r="G41" s="66"/>
      <c r="H41" s="23"/>
      <c r="I41" s="23"/>
    </row>
    <row r="42" spans="3:9" s="102" customFormat="1" ht="15.75">
      <c r="C42" s="66"/>
      <c r="D42" s="23"/>
      <c r="E42" s="23"/>
      <c r="F42" s="23"/>
      <c r="G42" s="66"/>
      <c r="H42" s="23"/>
      <c r="I42" s="23"/>
    </row>
    <row r="43" spans="3:9" s="102" customFormat="1" ht="15.75">
      <c r="C43" s="66"/>
      <c r="D43" s="23"/>
      <c r="E43" s="23"/>
      <c r="F43" s="23"/>
      <c r="G43" s="66"/>
      <c r="H43" s="23"/>
      <c r="I43" s="23"/>
    </row>
    <row r="44" spans="3:9" s="102" customFormat="1" ht="15.75">
      <c r="C44" s="66"/>
      <c r="D44" s="23"/>
      <c r="E44" s="23"/>
      <c r="F44" s="23"/>
      <c r="G44" s="66"/>
      <c r="H44" s="23"/>
      <c r="I44" s="23"/>
    </row>
    <row r="45" spans="3:9" s="102" customFormat="1" ht="15.75">
      <c r="C45" s="66"/>
      <c r="D45" s="23"/>
      <c r="E45" s="23"/>
      <c r="F45" s="23"/>
      <c r="G45" s="66"/>
      <c r="H45" s="23"/>
      <c r="I45" s="23"/>
    </row>
    <row r="46" spans="3:9" s="102" customFormat="1" ht="15.75">
      <c r="C46" s="66"/>
      <c r="D46" s="23"/>
      <c r="E46" s="23"/>
      <c r="F46" s="23"/>
      <c r="G46" s="66"/>
      <c r="H46" s="23"/>
      <c r="I46" s="23"/>
    </row>
    <row r="47" spans="3:9" s="102" customFormat="1" ht="15.75">
      <c r="C47" s="66"/>
      <c r="D47" s="23"/>
      <c r="E47" s="23"/>
      <c r="F47" s="23"/>
      <c r="G47" s="66"/>
      <c r="H47" s="23"/>
      <c r="I47" s="23"/>
    </row>
    <row r="48" spans="3:9" s="102" customFormat="1" ht="15.75">
      <c r="C48" s="66"/>
      <c r="D48" s="23"/>
      <c r="E48" s="23"/>
      <c r="F48" s="23"/>
      <c r="G48" s="66"/>
      <c r="H48" s="23"/>
      <c r="I48" s="23"/>
    </row>
    <row r="49" spans="3:9" s="102" customFormat="1" ht="15.75">
      <c r="C49" s="66"/>
      <c r="D49" s="23"/>
      <c r="E49" s="23"/>
      <c r="F49" s="23"/>
      <c r="G49" s="66"/>
      <c r="H49" s="23"/>
      <c r="I49" s="23"/>
    </row>
    <row r="50" spans="3:9" s="102" customFormat="1" ht="15.75">
      <c r="C50" s="66"/>
      <c r="D50" s="23"/>
      <c r="E50" s="23"/>
      <c r="F50" s="23"/>
      <c r="G50" s="66"/>
      <c r="H50" s="23"/>
      <c r="I50" s="23"/>
    </row>
    <row r="51" spans="1:9" s="102" customFormat="1" ht="15.75">
      <c r="A51" s="101"/>
      <c r="C51" s="66"/>
      <c r="D51" s="23"/>
      <c r="E51" s="23"/>
      <c r="F51" s="23"/>
      <c r="G51" s="66"/>
      <c r="H51" s="23"/>
      <c r="I51" s="23"/>
    </row>
    <row r="52" spans="3:9" s="102" customFormat="1" ht="15.75">
      <c r="C52" s="66"/>
      <c r="D52" s="23"/>
      <c r="E52" s="23"/>
      <c r="F52" s="23"/>
      <c r="G52" s="66"/>
      <c r="H52" s="23"/>
      <c r="I52" s="23"/>
    </row>
    <row r="53" spans="3:9" s="102" customFormat="1" ht="15.75">
      <c r="C53" s="66"/>
      <c r="D53" s="23"/>
      <c r="E53" s="23"/>
      <c r="F53" s="23"/>
      <c r="G53" s="66"/>
      <c r="H53" s="23"/>
      <c r="I53" s="23"/>
    </row>
    <row r="54" spans="3:9" s="102" customFormat="1" ht="15.75">
      <c r="C54" s="66"/>
      <c r="D54" s="23"/>
      <c r="E54" s="23"/>
      <c r="F54" s="23"/>
      <c r="G54" s="66"/>
      <c r="H54" s="23"/>
      <c r="I54" s="23"/>
    </row>
    <row r="55" spans="3:9" s="102" customFormat="1" ht="15.75">
      <c r="C55" s="103"/>
      <c r="D55" s="23"/>
      <c r="E55" s="105"/>
      <c r="F55" s="23"/>
      <c r="G55" s="103"/>
      <c r="H55" s="23"/>
      <c r="I55" s="105"/>
    </row>
    <row r="56" spans="3:9" s="102" customFormat="1" ht="15.75">
      <c r="C56" s="66"/>
      <c r="D56" s="23"/>
      <c r="E56" s="23"/>
      <c r="F56" s="23"/>
      <c r="G56" s="66"/>
      <c r="H56" s="23"/>
      <c r="I56" s="23"/>
    </row>
    <row r="57" spans="2:9" s="102" customFormat="1" ht="15.75">
      <c r="B57" s="101"/>
      <c r="C57" s="66"/>
      <c r="D57" s="23"/>
      <c r="E57" s="23"/>
      <c r="F57" s="23"/>
      <c r="G57" s="66"/>
      <c r="H57" s="23"/>
      <c r="I57" s="23"/>
    </row>
    <row r="58" spans="3:9" s="102" customFormat="1" ht="15.75">
      <c r="C58" s="66"/>
      <c r="D58" s="23"/>
      <c r="E58" s="23"/>
      <c r="F58" s="23"/>
      <c r="G58" s="66"/>
      <c r="H58" s="23"/>
      <c r="I58" s="23"/>
    </row>
    <row r="59" spans="3:9" s="102" customFormat="1" ht="15.75">
      <c r="C59" s="66"/>
      <c r="D59" s="23"/>
      <c r="E59" s="23"/>
      <c r="F59" s="23"/>
      <c r="G59" s="66"/>
      <c r="H59" s="23"/>
      <c r="I59" s="23"/>
    </row>
    <row r="60" spans="3:9" s="102" customFormat="1" ht="15.75">
      <c r="C60" s="66"/>
      <c r="D60" s="23"/>
      <c r="E60" s="23"/>
      <c r="F60" s="23"/>
      <c r="G60" s="66"/>
      <c r="H60" s="23"/>
      <c r="I60" s="23"/>
    </row>
    <row r="61" spans="3:9" s="102" customFormat="1" ht="15.75">
      <c r="C61" s="66"/>
      <c r="D61" s="23"/>
      <c r="E61" s="23"/>
      <c r="F61" s="23"/>
      <c r="G61" s="66"/>
      <c r="H61" s="23"/>
      <c r="I61" s="23"/>
    </row>
    <row r="62" spans="3:9" s="102" customFormat="1" ht="15.75">
      <c r="C62" s="66"/>
      <c r="D62" s="23"/>
      <c r="E62" s="23"/>
      <c r="F62" s="23"/>
      <c r="G62" s="66"/>
      <c r="H62" s="23"/>
      <c r="I62" s="23"/>
    </row>
    <row r="63" spans="3:9" s="102" customFormat="1" ht="15.75">
      <c r="C63" s="66"/>
      <c r="D63" s="23"/>
      <c r="E63" s="23"/>
      <c r="F63" s="23"/>
      <c r="G63" s="66"/>
      <c r="H63" s="23"/>
      <c r="I63" s="23"/>
    </row>
    <row r="64" spans="3:9" s="102" customFormat="1" ht="15.75">
      <c r="C64" s="66"/>
      <c r="D64" s="23"/>
      <c r="E64" s="23"/>
      <c r="F64" s="23"/>
      <c r="G64" s="66"/>
      <c r="H64" s="23"/>
      <c r="I64" s="23"/>
    </row>
    <row r="65" spans="3:9" s="102" customFormat="1" ht="15.75">
      <c r="C65" s="66"/>
      <c r="D65" s="23"/>
      <c r="E65" s="23"/>
      <c r="F65" s="23"/>
      <c r="G65" s="23"/>
      <c r="H65" s="23"/>
      <c r="I65" s="23"/>
    </row>
    <row r="66" spans="3:9" s="102" customFormat="1" ht="15.75">
      <c r="C66" s="66"/>
      <c r="D66" s="23"/>
      <c r="E66" s="23"/>
      <c r="F66" s="23"/>
      <c r="G66" s="23"/>
      <c r="H66" s="23"/>
      <c r="I66" s="23"/>
    </row>
    <row r="67" spans="3:9" s="102" customFormat="1" ht="15.75">
      <c r="C67" s="66"/>
      <c r="D67" s="23"/>
      <c r="E67" s="23"/>
      <c r="F67" s="23"/>
      <c r="G67" s="23"/>
      <c r="H67" s="23"/>
      <c r="I67" s="23"/>
    </row>
    <row r="68" spans="3:9" s="102" customFormat="1" ht="15.75">
      <c r="C68" s="66"/>
      <c r="D68" s="23"/>
      <c r="E68" s="23"/>
      <c r="F68" s="23"/>
      <c r="G68" s="23"/>
      <c r="H68" s="23"/>
      <c r="I68" s="23"/>
    </row>
    <row r="69" spans="3:9" s="102" customFormat="1" ht="15.75">
      <c r="C69" s="66"/>
      <c r="D69" s="23"/>
      <c r="E69" s="23"/>
      <c r="F69" s="23"/>
      <c r="G69" s="23"/>
      <c r="H69" s="23"/>
      <c r="I69" s="23"/>
    </row>
    <row r="70" spans="3:9" s="102" customFormat="1" ht="15.75">
      <c r="C70" s="66"/>
      <c r="D70" s="23"/>
      <c r="E70" s="23"/>
      <c r="F70" s="23"/>
      <c r="G70" s="23"/>
      <c r="H70" s="23"/>
      <c r="I70" s="23"/>
    </row>
    <row r="71" spans="3:9" s="102" customFormat="1" ht="15.75">
      <c r="C71" s="66"/>
      <c r="D71" s="23"/>
      <c r="E71" s="23"/>
      <c r="F71" s="23"/>
      <c r="G71" s="23"/>
      <c r="H71" s="23"/>
      <c r="I71" s="23"/>
    </row>
    <row r="72" spans="3:9" s="102" customFormat="1" ht="15.75">
      <c r="C72" s="66"/>
      <c r="D72" s="23"/>
      <c r="E72" s="23"/>
      <c r="F72" s="23"/>
      <c r="G72" s="23"/>
      <c r="H72" s="23"/>
      <c r="I72" s="23"/>
    </row>
    <row r="73" spans="3:9" s="102" customFormat="1" ht="15.75">
      <c r="C73" s="66"/>
      <c r="D73" s="23"/>
      <c r="E73" s="23"/>
      <c r="F73" s="23"/>
      <c r="G73" s="23"/>
      <c r="H73" s="23"/>
      <c r="I73" s="23"/>
    </row>
    <row r="74" spans="3:9" s="102" customFormat="1" ht="15.75">
      <c r="C74" s="66"/>
      <c r="D74" s="23"/>
      <c r="E74" s="23"/>
      <c r="F74" s="23"/>
      <c r="G74" s="23"/>
      <c r="H74" s="23"/>
      <c r="I74" s="23"/>
    </row>
    <row r="75" spans="3:9" s="102" customFormat="1" ht="15.75">
      <c r="C75" s="66"/>
      <c r="D75" s="23"/>
      <c r="E75" s="23"/>
      <c r="F75" s="23"/>
      <c r="G75" s="23"/>
      <c r="H75" s="23"/>
      <c r="I75" s="23"/>
    </row>
    <row r="76" spans="3:9" s="102" customFormat="1" ht="15.75">
      <c r="C76" s="66"/>
      <c r="D76" s="23"/>
      <c r="E76" s="23"/>
      <c r="F76" s="23"/>
      <c r="G76" s="23"/>
      <c r="H76" s="23"/>
      <c r="I76" s="23"/>
    </row>
    <row r="77" spans="3:9" s="102" customFormat="1" ht="15.75">
      <c r="C77" s="66"/>
      <c r="D77" s="23"/>
      <c r="E77" s="23"/>
      <c r="F77" s="23"/>
      <c r="G77" s="23"/>
      <c r="H77" s="23"/>
      <c r="I77" s="23"/>
    </row>
    <row r="78" spans="3:9" s="102" customFormat="1" ht="15.75">
      <c r="C78" s="106"/>
      <c r="D78" s="107"/>
      <c r="E78" s="107"/>
      <c r="F78" s="107"/>
      <c r="G78" s="107"/>
      <c r="H78" s="107"/>
      <c r="I78" s="107"/>
    </row>
    <row r="79" spans="3:9" s="102" customFormat="1" ht="15.75">
      <c r="C79" s="106"/>
      <c r="D79" s="107"/>
      <c r="E79" s="107"/>
      <c r="F79" s="107"/>
      <c r="G79" s="107"/>
      <c r="H79" s="107"/>
      <c r="I79" s="107"/>
    </row>
    <row r="80" spans="3:9" s="102" customFormat="1" ht="15.75">
      <c r="C80" s="106"/>
      <c r="D80" s="107"/>
      <c r="E80" s="107"/>
      <c r="F80" s="107"/>
      <c r="G80" s="107"/>
      <c r="H80" s="107"/>
      <c r="I80" s="107"/>
    </row>
    <row r="81" spans="3:9" s="102" customFormat="1" ht="15.75">
      <c r="C81" s="106"/>
      <c r="D81" s="107"/>
      <c r="E81" s="107"/>
      <c r="F81" s="107"/>
      <c r="G81" s="107"/>
      <c r="H81" s="107"/>
      <c r="I81" s="107"/>
    </row>
    <row r="82" spans="3:9" s="102" customFormat="1" ht="15.75">
      <c r="C82" s="106"/>
      <c r="D82" s="107"/>
      <c r="E82" s="107"/>
      <c r="F82" s="107"/>
      <c r="G82" s="107"/>
      <c r="H82" s="107"/>
      <c r="I82" s="107"/>
    </row>
    <row r="83" spans="3:9" s="102" customFormat="1" ht="15.75">
      <c r="C83" s="106"/>
      <c r="D83" s="107"/>
      <c r="E83" s="107"/>
      <c r="F83" s="107"/>
      <c r="G83" s="107"/>
      <c r="H83" s="107"/>
      <c r="I83" s="107"/>
    </row>
    <row r="84" spans="3:9" s="102" customFormat="1" ht="15.75">
      <c r="C84" s="106"/>
      <c r="D84" s="107"/>
      <c r="E84" s="107"/>
      <c r="F84" s="107"/>
      <c r="G84" s="107"/>
      <c r="H84" s="107"/>
      <c r="I84" s="107"/>
    </row>
    <row r="85" spans="3:9" s="102" customFormat="1" ht="15.75">
      <c r="C85" s="106"/>
      <c r="D85" s="107"/>
      <c r="E85" s="107"/>
      <c r="F85" s="107"/>
      <c r="G85" s="107"/>
      <c r="H85" s="107"/>
      <c r="I85" s="107"/>
    </row>
    <row r="86" spans="3:9" s="102" customFormat="1" ht="15.75">
      <c r="C86" s="106"/>
      <c r="D86" s="107"/>
      <c r="E86" s="107"/>
      <c r="F86" s="107"/>
      <c r="G86" s="107"/>
      <c r="H86" s="107"/>
      <c r="I86" s="107"/>
    </row>
    <row r="87" spans="3:9" s="102" customFormat="1" ht="15.75">
      <c r="C87" s="106"/>
      <c r="D87" s="107"/>
      <c r="E87" s="107"/>
      <c r="F87" s="107"/>
      <c r="G87" s="107"/>
      <c r="H87" s="107"/>
      <c r="I87" s="107"/>
    </row>
    <row r="88" spans="3:9" s="102" customFormat="1" ht="15.75">
      <c r="C88" s="106"/>
      <c r="D88" s="107"/>
      <c r="E88" s="107"/>
      <c r="F88" s="107"/>
      <c r="G88" s="107"/>
      <c r="H88" s="107"/>
      <c r="I88" s="107"/>
    </row>
    <row r="89" spans="3:9" s="102" customFormat="1" ht="15.75">
      <c r="C89" s="106"/>
      <c r="D89" s="107"/>
      <c r="E89" s="107"/>
      <c r="F89" s="107"/>
      <c r="G89" s="107"/>
      <c r="H89" s="107"/>
      <c r="I89" s="107"/>
    </row>
    <row r="90" spans="3:9" s="102" customFormat="1" ht="15.75">
      <c r="C90" s="106"/>
      <c r="D90" s="107"/>
      <c r="E90" s="107"/>
      <c r="F90" s="107"/>
      <c r="G90" s="107"/>
      <c r="H90" s="107"/>
      <c r="I90" s="107"/>
    </row>
    <row r="91" spans="3:9" s="102" customFormat="1" ht="15.75">
      <c r="C91" s="106"/>
      <c r="D91" s="107"/>
      <c r="E91" s="107"/>
      <c r="F91" s="107"/>
      <c r="G91" s="107"/>
      <c r="H91" s="107"/>
      <c r="I91" s="107"/>
    </row>
    <row r="92" spans="3:9" s="102" customFormat="1" ht="15.75">
      <c r="C92" s="106"/>
      <c r="D92" s="107"/>
      <c r="E92" s="107"/>
      <c r="F92" s="107"/>
      <c r="G92" s="107"/>
      <c r="H92" s="107"/>
      <c r="I92" s="107"/>
    </row>
    <row r="93" spans="3:9" s="102" customFormat="1" ht="15.75">
      <c r="C93" s="106"/>
      <c r="D93" s="107"/>
      <c r="E93" s="107"/>
      <c r="F93" s="107"/>
      <c r="G93" s="107"/>
      <c r="H93" s="107"/>
      <c r="I93" s="107"/>
    </row>
    <row r="94" spans="3:9" s="102" customFormat="1" ht="15.75">
      <c r="C94" s="106"/>
      <c r="D94" s="107"/>
      <c r="E94" s="107"/>
      <c r="F94" s="107"/>
      <c r="G94" s="107"/>
      <c r="H94" s="107"/>
      <c r="I94" s="107"/>
    </row>
    <row r="95" spans="3:9" s="102" customFormat="1" ht="15.75">
      <c r="C95" s="106"/>
      <c r="D95" s="107"/>
      <c r="E95" s="107"/>
      <c r="F95" s="107"/>
      <c r="G95" s="107"/>
      <c r="H95" s="107"/>
      <c r="I95" s="107"/>
    </row>
    <row r="96" spans="3:9" s="102" customFormat="1" ht="15.75">
      <c r="C96" s="106"/>
      <c r="D96" s="107"/>
      <c r="E96" s="107"/>
      <c r="F96" s="107"/>
      <c r="G96" s="107"/>
      <c r="H96" s="107"/>
      <c r="I96" s="107"/>
    </row>
    <row r="97" spans="3:9" s="102" customFormat="1" ht="15.75">
      <c r="C97" s="106"/>
      <c r="D97" s="107"/>
      <c r="E97" s="107"/>
      <c r="F97" s="107"/>
      <c r="G97" s="107"/>
      <c r="H97" s="107"/>
      <c r="I97" s="107"/>
    </row>
    <row r="98" spans="3:9" s="102" customFormat="1" ht="15.75">
      <c r="C98" s="106"/>
      <c r="D98" s="107"/>
      <c r="E98" s="107"/>
      <c r="F98" s="107"/>
      <c r="G98" s="107"/>
      <c r="H98" s="107"/>
      <c r="I98" s="107"/>
    </row>
    <row r="99" spans="3:9" s="102" customFormat="1" ht="15.75">
      <c r="C99" s="106"/>
      <c r="D99" s="107"/>
      <c r="E99" s="107"/>
      <c r="F99" s="107"/>
      <c r="G99" s="107"/>
      <c r="H99" s="107"/>
      <c r="I99" s="107"/>
    </row>
    <row r="100" spans="3:9" s="102" customFormat="1" ht="15.75">
      <c r="C100" s="106"/>
      <c r="D100" s="107"/>
      <c r="E100" s="107"/>
      <c r="F100" s="107"/>
      <c r="G100" s="107"/>
      <c r="H100" s="107"/>
      <c r="I100" s="107"/>
    </row>
    <row r="101" spans="3:9" s="102" customFormat="1" ht="15.75">
      <c r="C101" s="106"/>
      <c r="D101" s="107"/>
      <c r="E101" s="107"/>
      <c r="F101" s="107"/>
      <c r="G101" s="107"/>
      <c r="H101" s="107"/>
      <c r="I101" s="107"/>
    </row>
    <row r="102" spans="3:9" s="102" customFormat="1" ht="15.75">
      <c r="C102" s="106"/>
      <c r="D102" s="107"/>
      <c r="E102" s="107"/>
      <c r="F102" s="107"/>
      <c r="G102" s="107"/>
      <c r="H102" s="107"/>
      <c r="I102" s="107"/>
    </row>
    <row r="103" spans="3:9" s="102" customFormat="1" ht="15.75">
      <c r="C103" s="106"/>
      <c r="D103" s="107"/>
      <c r="E103" s="107"/>
      <c r="F103" s="107"/>
      <c r="G103" s="107"/>
      <c r="H103" s="107"/>
      <c r="I103" s="107"/>
    </row>
    <row r="104" spans="3:9" s="102" customFormat="1" ht="15.75">
      <c r="C104" s="106"/>
      <c r="D104" s="107"/>
      <c r="E104" s="107"/>
      <c r="F104" s="107"/>
      <c r="G104" s="107"/>
      <c r="H104" s="107"/>
      <c r="I104" s="107"/>
    </row>
    <row r="105" spans="3:9" s="102" customFormat="1" ht="15.75">
      <c r="C105" s="106"/>
      <c r="D105" s="107"/>
      <c r="E105" s="107"/>
      <c r="F105" s="107"/>
      <c r="G105" s="107"/>
      <c r="H105" s="107"/>
      <c r="I105" s="107"/>
    </row>
  </sheetData>
  <mergeCells count="2">
    <mergeCell ref="C10:E10"/>
    <mergeCell ref="G10:I10"/>
  </mergeCells>
  <printOptions horizontalCentered="1"/>
  <pageMargins left="0.65" right="0.59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Normal="75" zoomScaleSheetLayoutView="100" workbookViewId="0" topLeftCell="A32">
      <selection activeCell="B37" sqref="B37"/>
    </sheetView>
  </sheetViews>
  <sheetFormatPr defaultColWidth="9.140625" defaultRowHeight="12.75"/>
  <cols>
    <col min="1" max="1" width="3.28125" style="48" customWidth="1"/>
    <col min="2" max="2" width="52.7109375" style="48" customWidth="1"/>
    <col min="3" max="3" width="12.7109375" style="48" bestFit="1" customWidth="1"/>
    <col min="4" max="4" width="2.140625" style="48" customWidth="1"/>
    <col min="5" max="5" width="12.7109375" style="48" bestFit="1" customWidth="1"/>
    <col min="6" max="6" width="1.7109375" style="48" customWidth="1"/>
    <col min="7" max="7" width="12.7109375" style="48" bestFit="1" customWidth="1"/>
    <col min="8" max="8" width="1.7109375" style="48" customWidth="1"/>
    <col min="9" max="9" width="13.00390625" style="48" customWidth="1"/>
    <col min="10" max="16384" width="9.140625" style="48" customWidth="1"/>
  </cols>
  <sheetData>
    <row r="1" ht="15" customHeight="1">
      <c r="I1" s="1"/>
    </row>
    <row r="2" spans="2:9" ht="15.75" hidden="1">
      <c r="B2" s="185" t="s">
        <v>43</v>
      </c>
      <c r="C2" s="185"/>
      <c r="D2" s="185"/>
      <c r="E2" s="185"/>
      <c r="F2" s="185"/>
      <c r="G2" s="185"/>
      <c r="H2" s="185"/>
      <c r="I2" s="185"/>
    </row>
    <row r="3" spans="2:9" ht="15.75" hidden="1">
      <c r="B3" s="186" t="s">
        <v>8</v>
      </c>
      <c r="C3" s="186"/>
      <c r="D3" s="186"/>
      <c r="E3" s="186"/>
      <c r="F3" s="186"/>
      <c r="G3" s="186"/>
      <c r="H3" s="186"/>
      <c r="I3" s="186"/>
    </row>
    <row r="4" spans="2:9" ht="15.75" hidden="1">
      <c r="B4" s="47"/>
      <c r="C4" s="46"/>
      <c r="D4" s="46"/>
      <c r="E4" s="46"/>
      <c r="F4" s="46"/>
      <c r="G4" s="46"/>
      <c r="H4" s="46"/>
      <c r="I4" s="46"/>
    </row>
    <row r="5" spans="2:9" ht="15.75" hidden="1">
      <c r="B5" s="47"/>
      <c r="C5" s="46"/>
      <c r="D5" s="46"/>
      <c r="E5" s="46"/>
      <c r="F5" s="46"/>
      <c r="G5" s="46"/>
      <c r="H5" s="46"/>
      <c r="I5" s="46"/>
    </row>
    <row r="6" spans="1:9" ht="15" customHeight="1" hidden="1">
      <c r="A6" s="18"/>
      <c r="B6" s="184" t="s">
        <v>0</v>
      </c>
      <c r="C6" s="184"/>
      <c r="D6" s="184"/>
      <c r="E6" s="184"/>
      <c r="F6" s="184"/>
      <c r="G6" s="184"/>
      <c r="H6" s="184"/>
      <c r="I6" s="184"/>
    </row>
    <row r="7" spans="1:9" ht="15" customHeight="1">
      <c r="A7" s="18"/>
      <c r="B7" s="14"/>
      <c r="C7" s="14"/>
      <c r="D7" s="14"/>
      <c r="E7" s="14"/>
      <c r="F7" s="14"/>
      <c r="G7" s="14"/>
      <c r="H7" s="14"/>
      <c r="I7" s="14"/>
    </row>
    <row r="8" spans="1:9" ht="15" customHeight="1">
      <c r="A8" s="18"/>
      <c r="B8" s="14"/>
      <c r="C8" s="14"/>
      <c r="D8" s="14"/>
      <c r="E8" s="14"/>
      <c r="F8" s="14"/>
      <c r="G8" s="14"/>
      <c r="H8" s="14"/>
      <c r="I8" s="14"/>
    </row>
    <row r="9" spans="1:9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15" customHeight="1">
      <c r="A10" s="18"/>
      <c r="B10" s="18" t="s">
        <v>153</v>
      </c>
      <c r="C10" s="51"/>
      <c r="D10" s="51"/>
      <c r="E10" s="24"/>
      <c r="F10" s="24"/>
      <c r="G10" s="14"/>
      <c r="H10" s="14"/>
      <c r="I10" s="24"/>
    </row>
    <row r="11" spans="1:9" ht="15" customHeight="1">
      <c r="A11" s="18"/>
      <c r="B11" s="134"/>
      <c r="C11" s="51"/>
      <c r="D11" s="51"/>
      <c r="E11" s="24"/>
      <c r="F11" s="24"/>
      <c r="G11" s="14"/>
      <c r="H11" s="14"/>
      <c r="I11" s="24"/>
    </row>
    <row r="12" spans="1:9" ht="15" customHeight="1">
      <c r="A12" s="18"/>
      <c r="B12" s="18"/>
      <c r="C12" s="51"/>
      <c r="D12" s="51"/>
      <c r="E12" s="24"/>
      <c r="F12" s="24"/>
      <c r="G12" s="14"/>
      <c r="H12" s="14"/>
      <c r="I12" s="24"/>
    </row>
    <row r="13" spans="1:9" ht="15" customHeight="1">
      <c r="A13" s="18"/>
      <c r="B13" s="17" t="s">
        <v>35</v>
      </c>
      <c r="C13" s="28"/>
      <c r="D13" s="28"/>
      <c r="E13" s="28"/>
      <c r="F13" s="24"/>
      <c r="G13" s="51"/>
      <c r="H13" s="28"/>
      <c r="I13" s="28"/>
    </row>
    <row r="14" spans="1:9" ht="15" customHeight="1">
      <c r="A14" s="18"/>
      <c r="B14" s="17"/>
      <c r="C14" s="28"/>
      <c r="D14" s="28"/>
      <c r="E14" s="28"/>
      <c r="F14" s="24"/>
      <c r="G14" s="51"/>
      <c r="H14" s="28"/>
      <c r="I14" s="28"/>
    </row>
    <row r="15" spans="1:9" ht="15" customHeight="1">
      <c r="A15" s="18"/>
      <c r="B15" s="18"/>
      <c r="C15" s="183" t="s">
        <v>1</v>
      </c>
      <c r="D15" s="183"/>
      <c r="E15" s="183"/>
      <c r="F15" s="15"/>
      <c r="G15" s="183" t="s">
        <v>2</v>
      </c>
      <c r="H15" s="183"/>
      <c r="I15" s="183"/>
    </row>
    <row r="16" spans="1:9" ht="15" customHeight="1">
      <c r="A16" s="18"/>
      <c r="B16" s="18"/>
      <c r="C16" s="124">
        <f>+G16</f>
        <v>39172</v>
      </c>
      <c r="D16" s="124"/>
      <c r="E16" s="125">
        <f>+I16</f>
        <v>38807</v>
      </c>
      <c r="F16" s="125"/>
      <c r="G16" s="124">
        <v>39172</v>
      </c>
      <c r="H16" s="124"/>
      <c r="I16" s="125">
        <v>38807</v>
      </c>
    </row>
    <row r="17" spans="1:9" ht="15" customHeight="1">
      <c r="A17" s="18"/>
      <c r="B17" s="18"/>
      <c r="C17" s="28" t="s">
        <v>3</v>
      </c>
      <c r="D17" s="28"/>
      <c r="E17" s="29" t="s">
        <v>3</v>
      </c>
      <c r="F17" s="29"/>
      <c r="G17" s="28" t="str">
        <f>+C17</f>
        <v> RM'000</v>
      </c>
      <c r="H17" s="28"/>
      <c r="I17" s="29" t="s">
        <v>3</v>
      </c>
    </row>
    <row r="18" spans="1:9" ht="15" customHeight="1">
      <c r="A18" s="16"/>
      <c r="B18" s="15"/>
      <c r="C18" s="15"/>
      <c r="D18" s="15"/>
      <c r="E18" s="15"/>
      <c r="F18" s="15"/>
      <c r="G18" s="16"/>
      <c r="H18" s="16"/>
      <c r="I18" s="15"/>
    </row>
    <row r="19" spans="1:10" ht="15" customHeight="1">
      <c r="A19" s="16"/>
      <c r="B19" s="31" t="s">
        <v>7</v>
      </c>
      <c r="C19" s="135">
        <f>'[1]CIS'!$U$11</f>
        <v>30974149.080000013</v>
      </c>
      <c r="D19" s="30"/>
      <c r="E19" s="30">
        <v>18974</v>
      </c>
      <c r="F19" s="30"/>
      <c r="G19" s="135">
        <f>'[1]CIS'!$P$11</f>
        <v>98671353.08000001</v>
      </c>
      <c r="H19" s="53"/>
      <c r="I19" s="30">
        <v>57478</v>
      </c>
      <c r="J19" s="49" t="s">
        <v>15</v>
      </c>
    </row>
    <row r="20" spans="1:9" ht="15" customHeight="1">
      <c r="A20" s="16"/>
      <c r="B20" s="45"/>
      <c r="C20" s="135"/>
      <c r="D20" s="30"/>
      <c r="E20" s="30"/>
      <c r="F20" s="30"/>
      <c r="G20" s="135"/>
      <c r="H20" s="53"/>
      <c r="I20" s="30"/>
    </row>
    <row r="21" spans="1:9" ht="15" customHeight="1">
      <c r="A21" s="16"/>
      <c r="B21" s="31" t="s">
        <v>60</v>
      </c>
      <c r="C21" s="173">
        <f>+G21</f>
        <v>0</v>
      </c>
      <c r="D21" s="30"/>
      <c r="E21" s="30">
        <v>0</v>
      </c>
      <c r="F21" s="30"/>
      <c r="G21" s="173">
        <v>0</v>
      </c>
      <c r="H21" s="53"/>
      <c r="I21" s="30">
        <v>1550</v>
      </c>
    </row>
    <row r="22" spans="1:9" ht="15" customHeight="1">
      <c r="A22" s="16"/>
      <c r="B22" s="31" t="s">
        <v>136</v>
      </c>
      <c r="C22" s="173">
        <f>'[1]CIS'!$U$14</f>
        <v>0</v>
      </c>
      <c r="D22" s="30"/>
      <c r="E22" s="30">
        <v>0</v>
      </c>
      <c r="F22" s="30"/>
      <c r="G22" s="135">
        <f>'[1]CIS'!$P$14</f>
        <v>20398965</v>
      </c>
      <c r="H22" s="53"/>
      <c r="I22" s="30">
        <v>0</v>
      </c>
    </row>
    <row r="23" spans="1:9" ht="15" customHeight="1">
      <c r="A23" s="16"/>
      <c r="B23" s="54" t="s">
        <v>31</v>
      </c>
      <c r="C23" s="135">
        <f>'[1]CIS'!$U$13</f>
        <v>1469859.919999987</v>
      </c>
      <c r="D23" s="30"/>
      <c r="E23" s="30">
        <v>782</v>
      </c>
      <c r="F23" s="30"/>
      <c r="G23" s="135">
        <f>'[1]CIS'!$P$13</f>
        <v>3756721.919999987</v>
      </c>
      <c r="H23" s="53"/>
      <c r="I23" s="30">
        <v>1820</v>
      </c>
    </row>
    <row r="24" spans="1:9" ht="15" customHeight="1">
      <c r="A24" s="16"/>
      <c r="B24" s="54" t="s">
        <v>32</v>
      </c>
      <c r="C24" s="135">
        <f>'[1]CIS'!$U$16</f>
        <v>-1046856</v>
      </c>
      <c r="D24" s="30"/>
      <c r="E24" s="30">
        <v>-673</v>
      </c>
      <c r="F24" s="30"/>
      <c r="G24" s="135">
        <f>'[1]CIS'!$P$16</f>
        <v>-2456634</v>
      </c>
      <c r="H24" s="53"/>
      <c r="I24" s="30">
        <v>-2041</v>
      </c>
    </row>
    <row r="25" spans="1:2" ht="15" customHeight="1">
      <c r="A25" s="16"/>
      <c r="B25" s="54" t="s">
        <v>24</v>
      </c>
    </row>
    <row r="26" spans="1:9" ht="15" customHeight="1">
      <c r="A26" s="16"/>
      <c r="B26" s="54" t="s">
        <v>159</v>
      </c>
      <c r="C26" s="135">
        <f>'[1]CIS'!$U$17</f>
        <v>-89914</v>
      </c>
      <c r="D26" s="30"/>
      <c r="E26" s="30">
        <v>-117</v>
      </c>
      <c r="F26" s="30"/>
      <c r="G26" s="135">
        <f>'[1]CIS'!$P$17</f>
        <v>-400821</v>
      </c>
      <c r="H26" s="53"/>
      <c r="I26" s="30">
        <v>-432</v>
      </c>
    </row>
    <row r="27" spans="1:9" ht="15" customHeight="1">
      <c r="A27" s="16"/>
      <c r="B27" s="54" t="s">
        <v>144</v>
      </c>
      <c r="C27" s="173">
        <f>'[1]CIS'!$U$18</f>
        <v>0</v>
      </c>
      <c r="D27" s="30"/>
      <c r="E27" s="30">
        <v>0</v>
      </c>
      <c r="F27" s="30"/>
      <c r="G27" s="135">
        <f>'[1]CIS'!$P$18</f>
        <v>-3506353</v>
      </c>
      <c r="H27" s="53"/>
      <c r="I27" s="30">
        <v>0</v>
      </c>
    </row>
    <row r="28" spans="1:9" ht="15" customHeight="1">
      <c r="A28" s="16"/>
      <c r="B28" s="54" t="s">
        <v>33</v>
      </c>
      <c r="C28" s="135">
        <f>'[1]CIS'!$U$19</f>
        <v>-10064482</v>
      </c>
      <c r="D28" s="30"/>
      <c r="E28" s="30">
        <v>-11302</v>
      </c>
      <c r="F28" s="30"/>
      <c r="G28" s="135">
        <f>'[1]CIS'!$P$19+100</f>
        <v>-39809777</v>
      </c>
      <c r="H28" s="53"/>
      <c r="I28" s="30">
        <v>-33353</v>
      </c>
    </row>
    <row r="29" spans="1:9" ht="15" customHeight="1">
      <c r="A29" s="16"/>
      <c r="B29" s="54"/>
      <c r="C29" s="136"/>
      <c r="D29" s="30"/>
      <c r="E29" s="26"/>
      <c r="F29" s="30"/>
      <c r="G29" s="136"/>
      <c r="H29" s="53"/>
      <c r="I29" s="26"/>
    </row>
    <row r="30" spans="1:9" ht="15" customHeight="1">
      <c r="A30" s="16"/>
      <c r="B30" s="55" t="s">
        <v>34</v>
      </c>
      <c r="C30" s="135">
        <f>SUM(C19:C29)</f>
        <v>21242757</v>
      </c>
      <c r="D30" s="56"/>
      <c r="E30" s="30">
        <f>SUM(E19:E29)</f>
        <v>7664</v>
      </c>
      <c r="F30" s="56"/>
      <c r="G30" s="135">
        <f>SUM(G19:G29)</f>
        <v>76653455</v>
      </c>
      <c r="H30" s="57"/>
      <c r="I30" s="30">
        <f>SUM(I19:I29)</f>
        <v>25022</v>
      </c>
    </row>
    <row r="31" spans="1:9" ht="15" customHeight="1">
      <c r="A31" s="16"/>
      <c r="B31" s="54" t="s">
        <v>25</v>
      </c>
      <c r="C31" s="135">
        <f>'[1]CIS'!$U$26</f>
        <v>-899715</v>
      </c>
      <c r="D31" s="30"/>
      <c r="E31" s="30">
        <v>-631</v>
      </c>
      <c r="F31" s="30"/>
      <c r="G31" s="135">
        <f>'[1]CIS'!$P$26+1000</f>
        <v>-2892545</v>
      </c>
      <c r="H31" s="53"/>
      <c r="I31" s="30">
        <v>-1510</v>
      </c>
    </row>
    <row r="32" spans="1:9" ht="15" customHeight="1">
      <c r="A32" s="16"/>
      <c r="B32" s="19"/>
      <c r="C32" s="136"/>
      <c r="D32" s="30"/>
      <c r="E32" s="26"/>
      <c r="F32" s="30"/>
      <c r="G32" s="136"/>
      <c r="H32" s="53"/>
      <c r="I32" s="26"/>
    </row>
    <row r="33" spans="1:9" ht="15" customHeight="1">
      <c r="A33" s="24"/>
      <c r="B33" s="22" t="s">
        <v>63</v>
      </c>
      <c r="C33" s="137">
        <f>SUM(C30:C32)</f>
        <v>20343042</v>
      </c>
      <c r="D33" s="20"/>
      <c r="E33" s="21">
        <f>SUM(E30:E32)</f>
        <v>7033</v>
      </c>
      <c r="F33" s="25"/>
      <c r="G33" s="137">
        <f>SUM(G30:G32)-1000</f>
        <v>73759910</v>
      </c>
      <c r="H33" s="20"/>
      <c r="I33" s="21">
        <f>SUM(I30:I31)</f>
        <v>23512</v>
      </c>
    </row>
    <row r="34" spans="1:9" ht="15" customHeight="1">
      <c r="A34" s="16"/>
      <c r="B34" s="19" t="s">
        <v>61</v>
      </c>
      <c r="C34" s="135">
        <f>'[1]CIS'!$U$36</f>
        <v>-4413376</v>
      </c>
      <c r="D34" s="30"/>
      <c r="E34" s="30">
        <v>1004</v>
      </c>
      <c r="F34" s="30"/>
      <c r="G34" s="135">
        <f>'[1]CIS'!$P$36</f>
        <v>-10388532</v>
      </c>
      <c r="H34" s="53"/>
      <c r="I34" s="30">
        <v>-1197</v>
      </c>
    </row>
    <row r="35" spans="1:9" ht="15" customHeight="1">
      <c r="A35" s="16"/>
      <c r="B35" s="19"/>
      <c r="C35" s="138"/>
      <c r="D35" s="56"/>
      <c r="E35" s="58"/>
      <c r="F35" s="59"/>
      <c r="G35" s="138"/>
      <c r="H35" s="60"/>
      <c r="I35" s="58"/>
    </row>
    <row r="36" spans="1:9" ht="15" customHeight="1" thickBot="1">
      <c r="A36" s="16"/>
      <c r="B36" s="22" t="s">
        <v>187</v>
      </c>
      <c r="C36" s="139">
        <f>SUM(C33:C35)</f>
        <v>15929666</v>
      </c>
      <c r="D36" s="56"/>
      <c r="E36" s="117">
        <f>SUM(E33:E35)</f>
        <v>8037</v>
      </c>
      <c r="F36" s="56"/>
      <c r="G36" s="139">
        <f>SUM(G33:G35)</f>
        <v>63371378</v>
      </c>
      <c r="H36" s="57"/>
      <c r="I36" s="117">
        <f>SUM(I33:I35)</f>
        <v>22315</v>
      </c>
    </row>
    <row r="37" spans="1:9" ht="15" customHeight="1" thickTop="1">
      <c r="A37" s="16"/>
      <c r="B37" s="22"/>
      <c r="C37" s="140"/>
      <c r="D37" s="56"/>
      <c r="E37" s="25"/>
      <c r="F37" s="56"/>
      <c r="G37" s="140"/>
      <c r="H37" s="57"/>
      <c r="I37" s="25"/>
    </row>
    <row r="38" spans="1:9" ht="15" customHeight="1">
      <c r="A38" s="16"/>
      <c r="B38" s="22" t="s">
        <v>81</v>
      </c>
      <c r="C38" s="140"/>
      <c r="D38" s="56"/>
      <c r="E38" s="25"/>
      <c r="F38" s="56"/>
      <c r="G38" s="140"/>
      <c r="H38" s="57"/>
      <c r="I38" s="25"/>
    </row>
    <row r="39" spans="1:9" ht="15" customHeight="1">
      <c r="A39" s="16"/>
      <c r="B39" s="19" t="s">
        <v>82</v>
      </c>
      <c r="C39" s="140">
        <f>C36</f>
        <v>15929666</v>
      </c>
      <c r="D39" s="56"/>
      <c r="E39" s="25">
        <f>E36-E40</f>
        <v>7346</v>
      </c>
      <c r="F39" s="56"/>
      <c r="G39" s="140">
        <f>G36</f>
        <v>63371378</v>
      </c>
      <c r="H39" s="57"/>
      <c r="I39" s="25">
        <f>I36-I40</f>
        <v>19791</v>
      </c>
    </row>
    <row r="40" spans="1:9" ht="15" customHeight="1">
      <c r="A40" s="16"/>
      <c r="B40" s="19" t="s">
        <v>83</v>
      </c>
      <c r="C40" s="174">
        <v>0</v>
      </c>
      <c r="D40" s="56"/>
      <c r="E40" s="25">
        <v>691</v>
      </c>
      <c r="F40" s="56"/>
      <c r="G40" s="174">
        <v>0</v>
      </c>
      <c r="H40" s="57"/>
      <c r="I40" s="25">
        <v>2524</v>
      </c>
    </row>
    <row r="41" spans="1:9" ht="15" customHeight="1">
      <c r="A41" s="16"/>
      <c r="B41" s="19"/>
      <c r="C41" s="136"/>
      <c r="D41" s="56"/>
      <c r="E41" s="26"/>
      <c r="F41" s="56"/>
      <c r="G41" s="140"/>
      <c r="H41" s="57"/>
      <c r="I41" s="25"/>
    </row>
    <row r="42" spans="1:9" ht="15" customHeight="1" thickBot="1">
      <c r="A42" s="16"/>
      <c r="B42" s="19"/>
      <c r="C42" s="139">
        <f>SUM(C39:C41)</f>
        <v>15929666</v>
      </c>
      <c r="D42" s="56"/>
      <c r="E42" s="117">
        <f>SUM(E39:E41)</f>
        <v>8037</v>
      </c>
      <c r="F42" s="56"/>
      <c r="G42" s="139">
        <f>SUM(G39:G41)</f>
        <v>63371378</v>
      </c>
      <c r="H42" s="57"/>
      <c r="I42" s="117">
        <f>SUM(I39:I41)</f>
        <v>22315</v>
      </c>
    </row>
    <row r="43" spans="1:9" ht="15" customHeight="1" thickTop="1">
      <c r="A43" s="24"/>
      <c r="B43" s="19"/>
      <c r="C43" s="20"/>
      <c r="D43" s="20"/>
      <c r="E43" s="21"/>
      <c r="F43" s="27"/>
      <c r="G43" s="20"/>
      <c r="H43" s="27"/>
      <c r="I43" s="21"/>
    </row>
    <row r="44" spans="1:9" ht="15" customHeight="1">
      <c r="A44" s="24"/>
      <c r="B44" s="22" t="s">
        <v>108</v>
      </c>
      <c r="C44" s="20"/>
      <c r="D44" s="20"/>
      <c r="E44" s="21"/>
      <c r="F44" s="27"/>
      <c r="G44" s="20"/>
      <c r="H44" s="27"/>
      <c r="I44" s="21"/>
    </row>
    <row r="45" spans="1:9" ht="15" customHeight="1">
      <c r="A45" s="24"/>
      <c r="B45" s="22" t="s">
        <v>109</v>
      </c>
      <c r="C45" s="20"/>
      <c r="D45" s="20"/>
      <c r="E45" s="21"/>
      <c r="F45" s="27"/>
      <c r="G45" s="20"/>
      <c r="H45" s="27"/>
      <c r="I45" s="21"/>
    </row>
    <row r="46" spans="1:9" ht="15" customHeight="1" thickBot="1">
      <c r="A46" s="16"/>
      <c r="B46" s="18" t="s">
        <v>84</v>
      </c>
      <c r="C46" s="111">
        <f>ROUND(+C39/'[1]EPS32007'!$I$20*100,2)</f>
        <v>2.46</v>
      </c>
      <c r="D46" s="62"/>
      <c r="E46" s="61">
        <v>1.37</v>
      </c>
      <c r="F46" s="62"/>
      <c r="G46" s="111">
        <f>ROUND(+G39/'[1]EPS32007'!$I$43*100,2)</f>
        <v>9.98</v>
      </c>
      <c r="H46" s="62"/>
      <c r="I46" s="61">
        <v>3.69</v>
      </c>
    </row>
    <row r="47" spans="1:9" ht="15" customHeight="1" thickTop="1">
      <c r="A47" s="24"/>
      <c r="B47" s="24" t="s">
        <v>15</v>
      </c>
      <c r="C47" s="20"/>
      <c r="D47" s="20"/>
      <c r="E47" s="25"/>
      <c r="F47" s="25"/>
      <c r="G47" s="20"/>
      <c r="H47" s="20"/>
      <c r="I47" s="25"/>
    </row>
    <row r="48" spans="1:9" ht="15" customHeight="1" thickBot="1">
      <c r="A48" s="24"/>
      <c r="B48" s="19" t="s">
        <v>85</v>
      </c>
      <c r="C48" s="63" t="s">
        <v>10</v>
      </c>
      <c r="D48" s="64"/>
      <c r="E48" s="63" t="s">
        <v>10</v>
      </c>
      <c r="F48" s="25"/>
      <c r="G48" s="63" t="s">
        <v>10</v>
      </c>
      <c r="H48" s="64"/>
      <c r="I48" s="63" t="s">
        <v>10</v>
      </c>
    </row>
    <row r="49" spans="1:9" ht="16.5" thickTop="1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5.75">
      <c r="A50" s="18"/>
      <c r="C50" s="18"/>
      <c r="D50" s="18"/>
      <c r="E50" s="18"/>
      <c r="F50" s="18"/>
      <c r="G50" s="18"/>
      <c r="H50" s="18"/>
      <c r="I50" s="18"/>
    </row>
    <row r="51" spans="1:9" ht="15.75">
      <c r="A51" s="18"/>
      <c r="C51" s="18"/>
      <c r="D51" s="18"/>
      <c r="E51" s="18"/>
      <c r="F51" s="18"/>
      <c r="G51" s="18"/>
      <c r="H51" s="18"/>
      <c r="I51" s="18"/>
    </row>
    <row r="52" ht="15.75">
      <c r="B52" s="18"/>
    </row>
    <row r="53" ht="15.75">
      <c r="B53" s="65"/>
    </row>
  </sheetData>
  <mergeCells count="5">
    <mergeCell ref="C15:E15"/>
    <mergeCell ref="G15:I15"/>
    <mergeCell ref="B6:I6"/>
    <mergeCell ref="B2:I2"/>
    <mergeCell ref="B3:I3"/>
  </mergeCells>
  <printOptions horizontalCentered="1"/>
  <pageMargins left="0.33" right="0.36" top="0.71" bottom="0.8" header="0.31496062992126" footer="0.54"/>
  <pageSetup horizontalDpi="600" verticalDpi="600" orientation="portrait" paperSize="9" scale="80" r:id="rId2"/>
  <ignoredErrors>
    <ignoredError sqref="I35:I38 I30 I32:I33 I41:I45 G40:G45 E35:E38 E30 E32:E33 E41:E45 F30:F45 H30:H45 G30 C32 G35:G38 D30:D45 C40:C45 C35:C38 G32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2.28125" style="0" customWidth="1"/>
    <col min="4" max="5" width="13.7109375" style="0" customWidth="1"/>
    <col min="6" max="6" width="18.00390625" style="0" customWidth="1"/>
    <col min="7" max="7" width="4.8515625" style="0" customWidth="1"/>
    <col min="8" max="8" width="15.8515625" style="0" customWidth="1"/>
    <col min="9" max="9" width="0.85546875" style="0" customWidth="1"/>
    <col min="10" max="10" width="13.421875" style="0" bestFit="1" customWidth="1"/>
    <col min="11" max="11" width="3.00390625" style="0" customWidth="1"/>
    <col min="12" max="13" width="0" style="0" hidden="1" customWidth="1"/>
    <col min="14" max="14" width="10.8515625" style="0" hidden="1" customWidth="1"/>
    <col min="15" max="16" width="0" style="0" hidden="1" customWidth="1"/>
    <col min="17" max="17" width="12.00390625" style="36" hidden="1" customWidth="1"/>
    <col min="18" max="18" width="10.140625" style="0" hidden="1" customWidth="1"/>
  </cols>
  <sheetData>
    <row r="1" spans="1:11" ht="15.75">
      <c r="A1" s="18"/>
      <c r="B1" s="34" t="s">
        <v>43</v>
      </c>
      <c r="C1" s="28"/>
      <c r="D1" s="28"/>
      <c r="E1" s="28"/>
      <c r="F1" s="28"/>
      <c r="G1" s="28"/>
      <c r="H1" s="28"/>
      <c r="I1" s="28"/>
      <c r="J1" s="28"/>
      <c r="K1" s="28"/>
    </row>
    <row r="2" spans="1:17" s="2" customFormat="1" ht="15.75">
      <c r="A2" s="18"/>
      <c r="B2" s="33" t="s">
        <v>8</v>
      </c>
      <c r="C2" s="35"/>
      <c r="D2" s="35"/>
      <c r="E2" s="35"/>
      <c r="F2" s="35"/>
      <c r="G2" s="35"/>
      <c r="H2" s="35"/>
      <c r="I2" s="35"/>
      <c r="J2" s="35"/>
      <c r="K2" s="35"/>
      <c r="Q2" s="37"/>
    </row>
    <row r="3" spans="1:17" s="2" customFormat="1" ht="15" customHeight="1">
      <c r="A3" s="18"/>
      <c r="B3" s="22" t="s">
        <v>0</v>
      </c>
      <c r="C3" s="14"/>
      <c r="D3" s="14"/>
      <c r="E3" s="14"/>
      <c r="F3" s="14"/>
      <c r="G3" s="14"/>
      <c r="H3" s="14"/>
      <c r="I3" s="14"/>
      <c r="J3" s="14"/>
      <c r="K3" s="14"/>
      <c r="Q3" s="37"/>
    </row>
    <row r="4" spans="1:17" s="8" customFormat="1" ht="15" customHeight="1">
      <c r="A4" s="18"/>
      <c r="B4" s="22" t="s">
        <v>67</v>
      </c>
      <c r="C4" s="19"/>
      <c r="D4" s="19"/>
      <c r="E4" s="19"/>
      <c r="F4" s="19"/>
      <c r="G4" s="20"/>
      <c r="H4" s="187"/>
      <c r="I4" s="183"/>
      <c r="J4" s="183"/>
      <c r="K4" s="18"/>
      <c r="L4" s="7"/>
      <c r="M4" s="7"/>
      <c r="N4" s="7"/>
      <c r="O4" s="7"/>
      <c r="P4" s="7"/>
      <c r="Q4" s="38"/>
    </row>
    <row r="5" spans="1:17" s="4" customFormat="1" ht="15" customHeight="1">
      <c r="A5" s="19"/>
      <c r="B5" s="19"/>
      <c r="C5" s="19"/>
      <c r="D5" s="19"/>
      <c r="E5" s="19"/>
      <c r="F5" s="19"/>
      <c r="G5" s="18"/>
      <c r="H5" s="66" t="s">
        <v>4</v>
      </c>
      <c r="I5" s="66"/>
      <c r="J5" s="23" t="s">
        <v>4</v>
      </c>
      <c r="K5" s="18"/>
      <c r="L5" s="3"/>
      <c r="M5" s="3" t="s">
        <v>38</v>
      </c>
      <c r="N5" s="3" t="s">
        <v>44</v>
      </c>
      <c r="O5" s="3" t="s">
        <v>39</v>
      </c>
      <c r="P5" s="3" t="s">
        <v>44</v>
      </c>
      <c r="Q5" s="39"/>
    </row>
    <row r="6" spans="1:17" s="4" customFormat="1" ht="15" customHeight="1">
      <c r="A6" s="19"/>
      <c r="B6" s="19"/>
      <c r="C6" s="19"/>
      <c r="D6" s="19"/>
      <c r="E6" s="19"/>
      <c r="F6" s="19"/>
      <c r="G6" s="18"/>
      <c r="H6" s="124">
        <v>39172</v>
      </c>
      <c r="I6" s="28"/>
      <c r="J6" s="52" t="s">
        <v>107</v>
      </c>
      <c r="K6" s="18"/>
      <c r="L6" s="3"/>
      <c r="M6" s="3"/>
      <c r="N6" s="3"/>
      <c r="O6" s="3"/>
      <c r="P6" s="3"/>
      <c r="Q6" s="39"/>
    </row>
    <row r="7" spans="1:17" s="4" customFormat="1" ht="15" customHeight="1">
      <c r="A7" s="19"/>
      <c r="B7" s="19"/>
      <c r="C7" s="19"/>
      <c r="D7" s="19"/>
      <c r="E7" s="19"/>
      <c r="F7" s="19"/>
      <c r="G7" s="18"/>
      <c r="H7" s="28" t="s">
        <v>3</v>
      </c>
      <c r="I7" s="28"/>
      <c r="J7" s="29" t="s">
        <v>3</v>
      </c>
      <c r="K7" s="18"/>
      <c r="L7" s="3"/>
      <c r="M7" s="3"/>
      <c r="N7" s="3"/>
      <c r="O7" s="3"/>
      <c r="P7" s="3"/>
      <c r="Q7" s="39"/>
    </row>
    <row r="8" spans="1:17" s="4" customFormat="1" ht="15" customHeight="1">
      <c r="A8" s="19"/>
      <c r="B8" s="22" t="s">
        <v>86</v>
      </c>
      <c r="C8" s="19"/>
      <c r="D8" s="19"/>
      <c r="E8" s="19"/>
      <c r="F8" s="19"/>
      <c r="G8" s="18"/>
      <c r="H8" s="28"/>
      <c r="I8" s="28"/>
      <c r="J8" s="29"/>
      <c r="K8" s="18"/>
      <c r="L8" s="3"/>
      <c r="M8" s="3"/>
      <c r="N8" s="3"/>
      <c r="O8" s="3"/>
      <c r="P8" s="3"/>
      <c r="Q8" s="39"/>
    </row>
    <row r="9" spans="1:17" s="4" customFormat="1" ht="15" customHeight="1">
      <c r="A9" s="19"/>
      <c r="B9" s="22"/>
      <c r="C9" s="19"/>
      <c r="D9" s="19"/>
      <c r="E9" s="19"/>
      <c r="F9" s="19"/>
      <c r="G9" s="18"/>
      <c r="H9" s="28"/>
      <c r="I9" s="28"/>
      <c r="J9" s="29"/>
      <c r="K9" s="18"/>
      <c r="L9" s="3"/>
      <c r="M9" s="3"/>
      <c r="N9" s="3"/>
      <c r="O9" s="3"/>
      <c r="P9" s="3"/>
      <c r="Q9" s="39"/>
    </row>
    <row r="10" spans="1:17" s="4" customFormat="1" ht="15" customHeight="1">
      <c r="A10" s="19"/>
      <c r="B10" s="22" t="s">
        <v>91</v>
      </c>
      <c r="C10" s="19"/>
      <c r="D10" s="19"/>
      <c r="E10" s="19"/>
      <c r="F10" s="19"/>
      <c r="G10" s="18"/>
      <c r="H10" s="28"/>
      <c r="I10" s="28"/>
      <c r="J10" s="29"/>
      <c r="K10" s="18"/>
      <c r="L10" s="3"/>
      <c r="M10" s="3"/>
      <c r="N10" s="3"/>
      <c r="O10" s="3"/>
      <c r="P10" s="3"/>
      <c r="Q10" s="39"/>
    </row>
    <row r="11" spans="1:17" s="4" customFormat="1" ht="15" customHeight="1">
      <c r="A11" s="19"/>
      <c r="B11" s="22"/>
      <c r="C11" s="19"/>
      <c r="D11" s="19"/>
      <c r="E11" s="19"/>
      <c r="F11" s="19"/>
      <c r="G11" s="18"/>
      <c r="H11" s="180"/>
      <c r="I11" s="28"/>
      <c r="J11" s="181"/>
      <c r="K11" s="18"/>
      <c r="L11" s="3"/>
      <c r="M11" s="3"/>
      <c r="N11" s="3"/>
      <c r="O11" s="3"/>
      <c r="P11" s="3"/>
      <c r="Q11" s="39"/>
    </row>
    <row r="12" spans="1:18" s="8" customFormat="1" ht="15" customHeight="1">
      <c r="A12" s="19"/>
      <c r="B12" s="19" t="s">
        <v>97</v>
      </c>
      <c r="C12" s="17"/>
      <c r="D12" s="19"/>
      <c r="E12" s="19"/>
      <c r="F12" s="19"/>
      <c r="G12" s="18"/>
      <c r="H12" s="141">
        <f>'[1]CBS'!$O$12</f>
        <v>1759341</v>
      </c>
      <c r="I12" s="20"/>
      <c r="J12" s="67">
        <v>1344</v>
      </c>
      <c r="K12" s="18"/>
      <c r="L12" s="7"/>
      <c r="M12" s="7">
        <v>332</v>
      </c>
      <c r="N12" s="12">
        <f>H13-M12</f>
        <v>1734350</v>
      </c>
      <c r="O12" s="12">
        <v>9657</v>
      </c>
      <c r="P12" s="12">
        <f>J13-O12</f>
        <v>-7886</v>
      </c>
      <c r="Q12" s="40">
        <f>N12-P12</f>
        <v>1742236</v>
      </c>
      <c r="R12" s="13">
        <f>N12-J13</f>
        <v>1732579</v>
      </c>
    </row>
    <row r="13" spans="1:18" s="8" customFormat="1" ht="15" customHeight="1">
      <c r="A13" s="19"/>
      <c r="B13" s="19" t="s">
        <v>101</v>
      </c>
      <c r="C13" s="17"/>
      <c r="D13" s="19"/>
      <c r="E13" s="19"/>
      <c r="F13" s="19"/>
      <c r="G13" s="18"/>
      <c r="H13" s="142">
        <f>'[1]CBS'!$O$11</f>
        <v>1734682</v>
      </c>
      <c r="I13" s="20"/>
      <c r="J13" s="68">
        <v>1771</v>
      </c>
      <c r="K13" s="18"/>
      <c r="L13" s="7"/>
      <c r="M13" s="7"/>
      <c r="N13" s="12"/>
      <c r="O13" s="12"/>
      <c r="P13" s="12"/>
      <c r="Q13" s="40"/>
      <c r="R13" s="13"/>
    </row>
    <row r="14" spans="1:18" s="8" customFormat="1" ht="15" customHeight="1">
      <c r="A14" s="19"/>
      <c r="B14" s="19" t="s">
        <v>98</v>
      </c>
      <c r="C14" s="17"/>
      <c r="D14" s="19"/>
      <c r="E14" s="19"/>
      <c r="F14" s="19"/>
      <c r="G14" s="18"/>
      <c r="H14" s="142">
        <f>'[1]CBS'!$O$14</f>
        <v>28676975</v>
      </c>
      <c r="I14" s="20"/>
      <c r="J14" s="68">
        <v>28344</v>
      </c>
      <c r="K14" s="18"/>
      <c r="L14" s="7"/>
      <c r="M14" s="7"/>
      <c r="N14" s="12"/>
      <c r="O14" s="12"/>
      <c r="P14" s="12"/>
      <c r="Q14" s="40"/>
      <c r="R14" s="13"/>
    </row>
    <row r="15" spans="1:20" s="8" customFormat="1" ht="15" customHeight="1">
      <c r="A15" s="19"/>
      <c r="B15" s="19" t="s">
        <v>45</v>
      </c>
      <c r="C15" s="17"/>
      <c r="D15" s="19"/>
      <c r="E15" s="19"/>
      <c r="F15" s="19"/>
      <c r="G15" s="18"/>
      <c r="H15" s="142">
        <f>'[1]CBS'!$O$15-23111000</f>
        <v>368968033</v>
      </c>
      <c r="I15" s="20"/>
      <c r="J15" s="68">
        <v>220284</v>
      </c>
      <c r="K15" s="18"/>
      <c r="L15" s="7"/>
      <c r="M15" s="7"/>
      <c r="N15" s="12">
        <f>H15-M15</f>
        <v>368968033</v>
      </c>
      <c r="O15" s="12"/>
      <c r="P15" s="12">
        <f>J15-O15</f>
        <v>220284</v>
      </c>
      <c r="Q15" s="40">
        <f>N15-P15</f>
        <v>368747749</v>
      </c>
      <c r="R15" s="13"/>
      <c r="S15" s="13"/>
      <c r="T15" s="13"/>
    </row>
    <row r="16" spans="1:18" s="8" customFormat="1" ht="15" customHeight="1">
      <c r="A16" s="19"/>
      <c r="B16" s="19" t="s">
        <v>184</v>
      </c>
      <c r="C16" s="17"/>
      <c r="D16" s="19"/>
      <c r="E16" s="19"/>
      <c r="F16" s="19"/>
      <c r="G16" s="18"/>
      <c r="H16" s="142">
        <f>'[1]CBS'!$O$16</f>
        <v>31557173</v>
      </c>
      <c r="I16" s="20"/>
      <c r="J16" s="68">
        <v>61170</v>
      </c>
      <c r="K16" s="18"/>
      <c r="L16" s="7"/>
      <c r="M16" s="7"/>
      <c r="N16" s="12"/>
      <c r="O16" s="12"/>
      <c r="P16" s="12"/>
      <c r="Q16" s="40"/>
      <c r="R16" s="13"/>
    </row>
    <row r="17" spans="1:18" s="8" customFormat="1" ht="15" customHeight="1">
      <c r="A17" s="19"/>
      <c r="B17" s="19" t="s">
        <v>99</v>
      </c>
      <c r="C17" s="17"/>
      <c r="D17" s="19"/>
      <c r="E17" s="19"/>
      <c r="F17" s="19"/>
      <c r="G17" s="18"/>
      <c r="H17" s="142">
        <f>'[1]CBS'!$O$17+127000</f>
        <v>7891652</v>
      </c>
      <c r="I17" s="20"/>
      <c r="J17" s="68">
        <v>6597</v>
      </c>
      <c r="K17" s="18"/>
      <c r="L17" s="7"/>
      <c r="M17" s="7"/>
      <c r="N17" s="12"/>
      <c r="O17" s="12"/>
      <c r="P17" s="12"/>
      <c r="Q17" s="40"/>
      <c r="R17" s="13"/>
    </row>
    <row r="18" spans="1:18" s="8" customFormat="1" ht="15" customHeight="1">
      <c r="A18" s="19"/>
      <c r="B18" s="19"/>
      <c r="C18" s="17"/>
      <c r="D18" s="19"/>
      <c r="E18" s="19"/>
      <c r="F18" s="19"/>
      <c r="G18" s="18"/>
      <c r="H18" s="143">
        <f>SUM(H12:H17)</f>
        <v>440587856</v>
      </c>
      <c r="I18" s="20"/>
      <c r="J18" s="120">
        <f>SUM(J12:J17)</f>
        <v>319510</v>
      </c>
      <c r="K18" s="18"/>
      <c r="L18" s="7"/>
      <c r="M18" s="7"/>
      <c r="N18" s="12"/>
      <c r="O18" s="12"/>
      <c r="P18" s="12"/>
      <c r="Q18" s="40"/>
      <c r="R18" s="13"/>
    </row>
    <row r="19" spans="1:17" s="8" customFormat="1" ht="15" customHeight="1">
      <c r="A19" s="19"/>
      <c r="B19" s="22"/>
      <c r="C19" s="22"/>
      <c r="D19" s="19"/>
      <c r="E19" s="19"/>
      <c r="F19" s="19"/>
      <c r="G19" s="18"/>
      <c r="H19" s="137"/>
      <c r="I19" s="20"/>
      <c r="J19" s="21"/>
      <c r="K19" s="18"/>
      <c r="L19" s="7"/>
      <c r="M19" s="7"/>
      <c r="N19" s="7"/>
      <c r="O19" s="7"/>
      <c r="P19" s="7"/>
      <c r="Q19" s="38"/>
    </row>
    <row r="20" spans="1:17" s="8" customFormat="1" ht="15" customHeight="1">
      <c r="A20" s="19"/>
      <c r="B20" s="22" t="s">
        <v>92</v>
      </c>
      <c r="C20" s="17"/>
      <c r="D20" s="19"/>
      <c r="E20" s="19"/>
      <c r="F20" s="19"/>
      <c r="G20" s="18"/>
      <c r="H20" s="137"/>
      <c r="I20" s="20"/>
      <c r="J20" s="21"/>
      <c r="K20" s="18"/>
      <c r="L20" s="7"/>
      <c r="M20" s="7"/>
      <c r="N20" s="7"/>
      <c r="O20" s="7"/>
      <c r="P20" s="7"/>
      <c r="Q20" s="38"/>
    </row>
    <row r="21" spans="1:17" s="8" customFormat="1" ht="15" customHeight="1">
      <c r="A21" s="19"/>
      <c r="B21" s="22"/>
      <c r="C21" s="17"/>
      <c r="D21" s="19"/>
      <c r="E21" s="19"/>
      <c r="F21" s="19"/>
      <c r="G21" s="18"/>
      <c r="H21" s="137"/>
      <c r="I21" s="20"/>
      <c r="J21" s="21"/>
      <c r="K21" s="18"/>
      <c r="L21" s="7"/>
      <c r="M21" s="7"/>
      <c r="N21" s="7"/>
      <c r="O21" s="7"/>
      <c r="P21" s="7"/>
      <c r="Q21" s="38"/>
    </row>
    <row r="22" spans="1:17" s="8" customFormat="1" ht="15" customHeight="1">
      <c r="A22" s="19"/>
      <c r="B22" s="18" t="s">
        <v>158</v>
      </c>
      <c r="D22" s="19"/>
      <c r="E22" s="19"/>
      <c r="F22" s="19"/>
      <c r="G22" s="18"/>
      <c r="H22" s="141">
        <f>'[1]CBS'!$O$20</f>
        <v>8499693</v>
      </c>
      <c r="I22" s="20"/>
      <c r="J22" s="67">
        <v>4000</v>
      </c>
      <c r="K22" s="18"/>
      <c r="L22" s="7"/>
      <c r="M22" s="7"/>
      <c r="N22" s="7"/>
      <c r="O22" s="7"/>
      <c r="P22" s="7"/>
      <c r="Q22" s="38"/>
    </row>
    <row r="23" spans="1:17" s="8" customFormat="1" ht="15" customHeight="1">
      <c r="A23" s="19"/>
      <c r="B23" s="18" t="s">
        <v>147</v>
      </c>
      <c r="D23" s="19"/>
      <c r="E23" s="19"/>
      <c r="F23" s="19"/>
      <c r="G23" s="18"/>
      <c r="H23" s="142">
        <f>'[1]CBS'!$O$21</f>
        <v>17088707</v>
      </c>
      <c r="I23" s="20"/>
      <c r="J23" s="68">
        <v>1407</v>
      </c>
      <c r="K23" s="18"/>
      <c r="L23" s="7"/>
      <c r="M23" s="7"/>
      <c r="N23" s="7"/>
      <c r="O23" s="7"/>
      <c r="P23" s="7"/>
      <c r="Q23" s="38"/>
    </row>
    <row r="24" spans="1:18" s="8" customFormat="1" ht="15" customHeight="1">
      <c r="A24" s="19"/>
      <c r="B24" s="19" t="s">
        <v>45</v>
      </c>
      <c r="D24" s="19"/>
      <c r="E24" s="19"/>
      <c r="F24" s="19"/>
      <c r="G24" s="18"/>
      <c r="H24" s="142">
        <f>'[1]CBS'!$O$22+400+23410000</f>
        <v>45669364</v>
      </c>
      <c r="I24" s="20"/>
      <c r="J24" s="68">
        <v>14920</v>
      </c>
      <c r="K24" s="18"/>
      <c r="L24" s="7"/>
      <c r="M24" s="11"/>
      <c r="N24" s="12"/>
      <c r="O24" s="12"/>
      <c r="P24" s="12"/>
      <c r="Q24" s="40"/>
      <c r="R24" s="13"/>
    </row>
    <row r="25" spans="1:18" s="8" customFormat="1" ht="15" customHeight="1">
      <c r="A25" s="19"/>
      <c r="B25" s="19" t="s">
        <v>145</v>
      </c>
      <c r="D25" s="19"/>
      <c r="E25" s="19"/>
      <c r="F25" s="19"/>
      <c r="G25" s="18"/>
      <c r="H25" s="142">
        <f>'[1]CBS'!$O$23-1000-207000-299000</f>
        <v>10239542</v>
      </c>
      <c r="I25" s="20"/>
      <c r="J25" s="68">
        <v>6786</v>
      </c>
      <c r="K25" s="18"/>
      <c r="L25" s="7"/>
      <c r="M25" s="11">
        <f>32024</f>
        <v>32024</v>
      </c>
      <c r="N25" s="12">
        <f>H25-M25</f>
        <v>10207518</v>
      </c>
      <c r="O25" s="12">
        <v>444</v>
      </c>
      <c r="P25" s="12">
        <f>J25-O25</f>
        <v>6342</v>
      </c>
      <c r="Q25" s="40">
        <f>N25-P25</f>
        <v>10201176</v>
      </c>
      <c r="R25" s="13">
        <f>N25-J25</f>
        <v>10200732</v>
      </c>
    </row>
    <row r="26" spans="1:18" s="8" customFormat="1" ht="15" customHeight="1">
      <c r="A26" s="19"/>
      <c r="B26" s="19" t="s">
        <v>183</v>
      </c>
      <c r="D26" s="19"/>
      <c r="E26" s="19"/>
      <c r="F26" s="19"/>
      <c r="G26" s="18"/>
      <c r="H26" s="142">
        <f>'[1]CBS'!$O$27</f>
        <v>162627317</v>
      </c>
      <c r="I26" s="20"/>
      <c r="J26" s="68">
        <v>48573</v>
      </c>
      <c r="K26" s="18"/>
      <c r="L26" s="7"/>
      <c r="M26" s="11">
        <v>99</v>
      </c>
      <c r="N26" s="12">
        <f>H26-M26</f>
        <v>162627218</v>
      </c>
      <c r="O26" s="12">
        <v>0</v>
      </c>
      <c r="P26" s="12">
        <f>J26-O26</f>
        <v>48573</v>
      </c>
      <c r="Q26" s="40">
        <f>N26-P26</f>
        <v>162578645</v>
      </c>
      <c r="R26" s="13">
        <f>N26-J26</f>
        <v>162578645</v>
      </c>
    </row>
    <row r="27" spans="1:19" s="8" customFormat="1" ht="15" customHeight="1">
      <c r="A27" s="19"/>
      <c r="B27" s="19" t="s">
        <v>9</v>
      </c>
      <c r="D27" s="19"/>
      <c r="E27" s="19"/>
      <c r="F27" s="19"/>
      <c r="G27" s="18"/>
      <c r="H27" s="144">
        <f>'[1]CBS'!$O$28</f>
        <v>5355243</v>
      </c>
      <c r="I27" s="20"/>
      <c r="J27" s="69">
        <v>7433</v>
      </c>
      <c r="K27" s="18"/>
      <c r="L27" s="7"/>
      <c r="M27" s="7">
        <v>3820</v>
      </c>
      <c r="N27" s="12">
        <f>H27-M27</f>
        <v>5351423</v>
      </c>
      <c r="O27" s="12">
        <v>828</v>
      </c>
      <c r="P27" s="12">
        <f>J27-O27</f>
        <v>6605</v>
      </c>
      <c r="Q27" s="40">
        <f>N27-P27</f>
        <v>5344818</v>
      </c>
      <c r="R27" s="13">
        <f>N27-J27</f>
        <v>5343990</v>
      </c>
      <c r="S27" s="13"/>
    </row>
    <row r="28" spans="1:20" s="2" customFormat="1" ht="15" customHeight="1">
      <c r="A28" s="16"/>
      <c r="B28" s="15"/>
      <c r="C28" s="15"/>
      <c r="D28" s="15"/>
      <c r="E28" s="15"/>
      <c r="F28" s="15"/>
      <c r="G28" s="15"/>
      <c r="H28" s="145">
        <f>SUM(H22:H27)</f>
        <v>249479866</v>
      </c>
      <c r="I28" s="70"/>
      <c r="J28" s="72">
        <f>SUM(J22:J27)</f>
        <v>83119</v>
      </c>
      <c r="K28" s="18"/>
      <c r="L28" s="5"/>
      <c r="M28" s="10">
        <f aca="true" t="shared" si="0" ref="M28:R28">SUM(M24:M27)</f>
        <v>35943</v>
      </c>
      <c r="N28" s="10">
        <f t="shared" si="0"/>
        <v>178186159</v>
      </c>
      <c r="O28" s="10">
        <f t="shared" si="0"/>
        <v>1272</v>
      </c>
      <c r="P28" s="10">
        <f t="shared" si="0"/>
        <v>61520</v>
      </c>
      <c r="Q28" s="41">
        <f t="shared" si="0"/>
        <v>178124639</v>
      </c>
      <c r="R28" s="10">
        <f t="shared" si="0"/>
        <v>178123367</v>
      </c>
      <c r="T28" s="112"/>
    </row>
    <row r="29" spans="1:20" s="2" customFormat="1" ht="15" customHeight="1">
      <c r="A29" s="16"/>
      <c r="B29" s="15"/>
      <c r="C29" s="15"/>
      <c r="D29" s="15"/>
      <c r="E29" s="15"/>
      <c r="F29" s="15"/>
      <c r="G29" s="15"/>
      <c r="H29" s="140"/>
      <c r="I29" s="70"/>
      <c r="J29" s="25"/>
      <c r="K29" s="18"/>
      <c r="L29" s="5"/>
      <c r="M29" s="118"/>
      <c r="N29" s="118"/>
      <c r="O29" s="118"/>
      <c r="P29" s="118"/>
      <c r="Q29" s="119"/>
      <c r="R29" s="118"/>
      <c r="T29" s="112"/>
    </row>
    <row r="30" spans="1:20" s="2" customFormat="1" ht="15" customHeight="1" thickBot="1">
      <c r="A30" s="16"/>
      <c r="B30" s="22" t="s">
        <v>93</v>
      </c>
      <c r="C30" s="15"/>
      <c r="D30" s="15"/>
      <c r="E30" s="15"/>
      <c r="F30" s="15"/>
      <c r="G30" s="15"/>
      <c r="H30" s="146">
        <f>H18+H28</f>
        <v>690067722</v>
      </c>
      <c r="I30" s="70"/>
      <c r="J30" s="122">
        <f>+J28+J18</f>
        <v>402629</v>
      </c>
      <c r="K30" s="18"/>
      <c r="L30" s="5"/>
      <c r="M30" s="118"/>
      <c r="N30" s="118"/>
      <c r="O30" s="118"/>
      <c r="P30" s="118"/>
      <c r="Q30" s="119"/>
      <c r="R30" s="118"/>
      <c r="T30" s="112"/>
    </row>
    <row r="31" spans="1:20" s="2" customFormat="1" ht="15" customHeight="1">
      <c r="A31" s="16"/>
      <c r="B31" s="15"/>
      <c r="C31" s="15"/>
      <c r="D31" s="15"/>
      <c r="E31" s="15"/>
      <c r="F31" s="15"/>
      <c r="G31" s="15"/>
      <c r="H31" s="140"/>
      <c r="I31" s="70"/>
      <c r="J31" s="25"/>
      <c r="K31" s="18"/>
      <c r="L31" s="5"/>
      <c r="M31" s="118"/>
      <c r="N31" s="118"/>
      <c r="O31" s="118"/>
      <c r="P31" s="118"/>
      <c r="Q31" s="119"/>
      <c r="R31" s="118"/>
      <c r="T31" s="112"/>
    </row>
    <row r="32" spans="1:17" s="8" customFormat="1" ht="15" customHeight="1">
      <c r="A32" s="19"/>
      <c r="B32" s="22" t="s">
        <v>87</v>
      </c>
      <c r="C32" s="19"/>
      <c r="D32" s="19"/>
      <c r="E32" s="19"/>
      <c r="F32" s="19"/>
      <c r="G32" s="18"/>
      <c r="H32" s="137"/>
      <c r="I32" s="20"/>
      <c r="J32" s="21"/>
      <c r="K32" s="18"/>
      <c r="L32" s="7"/>
      <c r="M32" s="7"/>
      <c r="N32" s="7"/>
      <c r="O32" s="7"/>
      <c r="P32" s="7"/>
      <c r="Q32" s="38"/>
    </row>
    <row r="33" spans="1:17" s="8" customFormat="1" ht="15" customHeight="1">
      <c r="A33" s="19"/>
      <c r="B33" s="22"/>
      <c r="C33" s="19"/>
      <c r="D33" s="19"/>
      <c r="E33" s="19"/>
      <c r="F33" s="19"/>
      <c r="G33" s="18"/>
      <c r="H33" s="137"/>
      <c r="I33" s="20"/>
      <c r="J33" s="21"/>
      <c r="K33" s="18"/>
      <c r="L33" s="7"/>
      <c r="M33" s="7"/>
      <c r="N33" s="7"/>
      <c r="O33" s="7"/>
      <c r="P33" s="7"/>
      <c r="Q33" s="38"/>
    </row>
    <row r="34" spans="1:17" s="8" customFormat="1" ht="15" customHeight="1">
      <c r="A34" s="19"/>
      <c r="B34" s="22" t="s">
        <v>94</v>
      </c>
      <c r="C34" s="19"/>
      <c r="D34" s="19"/>
      <c r="E34" s="19"/>
      <c r="F34" s="19"/>
      <c r="G34" s="18"/>
      <c r="H34" s="137"/>
      <c r="I34" s="20"/>
      <c r="J34" s="21"/>
      <c r="K34" s="18"/>
      <c r="L34" s="7"/>
      <c r="M34" s="7"/>
      <c r="N34" s="7"/>
      <c r="O34" s="7"/>
      <c r="P34" s="7"/>
      <c r="Q34" s="38"/>
    </row>
    <row r="35" spans="1:17" s="8" customFormat="1" ht="15" customHeight="1">
      <c r="A35" s="19"/>
      <c r="B35" s="19"/>
      <c r="C35" s="19"/>
      <c r="D35" s="19"/>
      <c r="E35" s="19"/>
      <c r="F35" s="19"/>
      <c r="G35" s="18"/>
      <c r="H35" s="137"/>
      <c r="I35" s="20"/>
      <c r="J35" s="21"/>
      <c r="K35" s="18"/>
      <c r="L35" s="7"/>
      <c r="M35" s="7"/>
      <c r="N35" s="7"/>
      <c r="O35" s="7"/>
      <c r="P35" s="7"/>
      <c r="Q35" s="38"/>
    </row>
    <row r="36" spans="1:18" s="8" customFormat="1" ht="15" customHeight="1">
      <c r="A36" s="19"/>
      <c r="B36" s="19" t="s">
        <v>139</v>
      </c>
      <c r="D36" s="19"/>
      <c r="E36" s="19"/>
      <c r="F36" s="19"/>
      <c r="G36" s="18"/>
      <c r="H36" s="141">
        <f>'[1]CBS'!$O$68</f>
        <v>64633764</v>
      </c>
      <c r="I36" s="20"/>
      <c r="J36" s="67">
        <v>46893</v>
      </c>
      <c r="K36" s="18"/>
      <c r="L36" s="7"/>
      <c r="M36" s="7">
        <v>8000</v>
      </c>
      <c r="N36" s="12">
        <f>H36-M36</f>
        <v>64625764</v>
      </c>
      <c r="O36" s="12">
        <v>1000</v>
      </c>
      <c r="P36" s="12">
        <f>J36-O36</f>
        <v>45893</v>
      </c>
      <c r="Q36" s="40">
        <f>N36-P36</f>
        <v>64579871</v>
      </c>
      <c r="R36" s="13">
        <f>N36-J36</f>
        <v>64578871</v>
      </c>
    </row>
    <row r="37" spans="1:18" s="8" customFormat="1" ht="15" customHeight="1">
      <c r="A37" s="19"/>
      <c r="B37" s="19" t="s">
        <v>140</v>
      </c>
      <c r="D37" s="19"/>
      <c r="E37" s="19"/>
      <c r="F37" s="19"/>
      <c r="G37" s="18"/>
      <c r="H37" s="142">
        <f>'[1]CBS'!$O$69</f>
        <v>3563039</v>
      </c>
      <c r="I37" s="20"/>
      <c r="J37" s="68">
        <v>8042</v>
      </c>
      <c r="K37" s="18"/>
      <c r="L37" s="7"/>
      <c r="M37" s="7"/>
      <c r="N37" s="12"/>
      <c r="O37" s="12"/>
      <c r="P37" s="12"/>
      <c r="Q37" s="40"/>
      <c r="R37" s="13"/>
    </row>
    <row r="38" spans="1:18" s="8" customFormat="1" ht="15" customHeight="1">
      <c r="A38" s="19"/>
      <c r="B38" s="19" t="s">
        <v>88</v>
      </c>
      <c r="D38" s="19"/>
      <c r="E38" s="19"/>
      <c r="F38" s="19"/>
      <c r="G38" s="18"/>
      <c r="H38" s="142">
        <f>'[1]CBS'!$O$72</f>
        <v>93539098</v>
      </c>
      <c r="I38" s="20"/>
      <c r="J38" s="68">
        <v>38007</v>
      </c>
      <c r="K38" s="18"/>
      <c r="L38" s="7"/>
      <c r="M38" s="7">
        <v>27000</v>
      </c>
      <c r="N38" s="12">
        <f>H38-M38</f>
        <v>93512098</v>
      </c>
      <c r="O38" s="12">
        <v>0</v>
      </c>
      <c r="P38" s="12">
        <f>J38-O38</f>
        <v>38007</v>
      </c>
      <c r="Q38" s="40">
        <f>N38-P38</f>
        <v>93474091</v>
      </c>
      <c r="R38" s="13">
        <f>N38-J38</f>
        <v>93474091</v>
      </c>
    </row>
    <row r="39" spans="1:18" s="8" customFormat="1" ht="15" customHeight="1" thickBot="1">
      <c r="A39" s="19"/>
      <c r="B39" s="22" t="s">
        <v>100</v>
      </c>
      <c r="D39" s="19"/>
      <c r="E39" s="19"/>
      <c r="F39" s="19"/>
      <c r="G39" s="18"/>
      <c r="H39" s="143">
        <f>SUM(H36:H38)</f>
        <v>161735901</v>
      </c>
      <c r="I39" s="20"/>
      <c r="J39" s="120">
        <f>SUM(J36:J38)</f>
        <v>92942</v>
      </c>
      <c r="K39" s="18"/>
      <c r="L39" s="7"/>
      <c r="M39" s="9">
        <f aca="true" t="shared" si="1" ref="M39:R39">SUM(M36:M38)</f>
        <v>35000</v>
      </c>
      <c r="N39" s="9">
        <f t="shared" si="1"/>
        <v>158137862</v>
      </c>
      <c r="O39" s="9">
        <f t="shared" si="1"/>
        <v>1000</v>
      </c>
      <c r="P39" s="9">
        <f t="shared" si="1"/>
        <v>83900</v>
      </c>
      <c r="Q39" s="43">
        <f t="shared" si="1"/>
        <v>158053962</v>
      </c>
      <c r="R39" s="9">
        <f t="shared" si="1"/>
        <v>158052962</v>
      </c>
    </row>
    <row r="40" spans="1:18" s="8" customFormat="1" ht="15" customHeight="1" thickTop="1">
      <c r="A40" s="19"/>
      <c r="B40" s="19"/>
      <c r="C40" s="18"/>
      <c r="D40" s="19"/>
      <c r="E40" s="19"/>
      <c r="F40" s="19"/>
      <c r="G40" s="18"/>
      <c r="H40" s="137"/>
      <c r="I40" s="20"/>
      <c r="J40" s="21"/>
      <c r="K40" s="18"/>
      <c r="L40" s="7"/>
      <c r="M40" s="6"/>
      <c r="N40" s="6"/>
      <c r="O40" s="6"/>
      <c r="P40" s="6"/>
      <c r="Q40" s="42"/>
      <c r="R40" s="6"/>
    </row>
    <row r="41" spans="1:18" s="8" customFormat="1" ht="15" customHeight="1">
      <c r="A41" s="19"/>
      <c r="B41" s="22" t="s">
        <v>95</v>
      </c>
      <c r="C41" s="18"/>
      <c r="D41" s="19"/>
      <c r="E41" s="19"/>
      <c r="F41" s="19"/>
      <c r="G41" s="18"/>
      <c r="H41" s="137"/>
      <c r="I41" s="20"/>
      <c r="J41" s="21"/>
      <c r="K41" s="18"/>
      <c r="L41" s="7"/>
      <c r="M41" s="6"/>
      <c r="N41" s="6"/>
      <c r="O41" s="6"/>
      <c r="P41" s="6"/>
      <c r="Q41" s="42"/>
      <c r="R41" s="6"/>
    </row>
    <row r="42" spans="1:18" s="8" customFormat="1" ht="15" customHeight="1">
      <c r="A42" s="19"/>
      <c r="B42" s="19"/>
      <c r="C42" s="18"/>
      <c r="D42" s="19"/>
      <c r="E42" s="19"/>
      <c r="F42" s="19"/>
      <c r="G42" s="18"/>
      <c r="H42" s="137"/>
      <c r="I42" s="20"/>
      <c r="J42" s="21"/>
      <c r="K42" s="18"/>
      <c r="L42" s="7"/>
      <c r="M42" s="6"/>
      <c r="N42" s="6"/>
      <c r="O42" s="6"/>
      <c r="P42" s="6"/>
      <c r="Q42" s="42"/>
      <c r="R42" s="6"/>
    </row>
    <row r="43" spans="1:18" s="8" customFormat="1" ht="15" customHeight="1">
      <c r="A43" s="19"/>
      <c r="B43" s="19" t="s">
        <v>160</v>
      </c>
      <c r="D43" s="19"/>
      <c r="E43" s="19"/>
      <c r="F43" s="19"/>
      <c r="G43" s="18"/>
      <c r="H43" s="147">
        <f>'[1]CBS'!$O$54</f>
        <v>56312</v>
      </c>
      <c r="I43" s="20"/>
      <c r="J43" s="67">
        <v>36</v>
      </c>
      <c r="K43" s="18"/>
      <c r="L43" s="7"/>
      <c r="M43" s="6"/>
      <c r="N43" s="6"/>
      <c r="O43" s="6"/>
      <c r="P43" s="6"/>
      <c r="Q43" s="42"/>
      <c r="R43" s="6"/>
    </row>
    <row r="44" spans="1:18" s="8" customFormat="1" ht="15" customHeight="1">
      <c r="A44" s="19"/>
      <c r="B44" s="19" t="s">
        <v>79</v>
      </c>
      <c r="D44" s="19"/>
      <c r="E44" s="19"/>
      <c r="F44" s="19"/>
      <c r="G44" s="18"/>
      <c r="H44" s="148">
        <f>'[1]CBS'!$O$55-400</f>
        <v>144817.07999999996</v>
      </c>
      <c r="I44" s="20"/>
      <c r="J44" s="68">
        <v>121</v>
      </c>
      <c r="K44" s="18"/>
      <c r="L44" s="7"/>
      <c r="M44" s="6"/>
      <c r="N44" s="6"/>
      <c r="O44" s="6"/>
      <c r="P44" s="6"/>
      <c r="Q44" s="42"/>
      <c r="R44" s="6"/>
    </row>
    <row r="45" spans="1:18" s="8" customFormat="1" ht="15" customHeight="1">
      <c r="A45" s="19"/>
      <c r="B45" s="19" t="s">
        <v>14</v>
      </c>
      <c r="D45" s="19"/>
      <c r="E45" s="19"/>
      <c r="F45" s="19"/>
      <c r="G45" s="18"/>
      <c r="H45" s="142">
        <f>'[1]CBS'!$O$51+'[1]CBS'!$O$52+'[1]CBS'!$O$53-400-13000000</f>
        <v>456323942</v>
      </c>
      <c r="I45" s="20"/>
      <c r="J45" s="68">
        <f>99686+53000+120000</f>
        <v>272686</v>
      </c>
      <c r="K45" s="18"/>
      <c r="L45" s="7"/>
      <c r="M45" s="6"/>
      <c r="N45" s="6"/>
      <c r="O45" s="6"/>
      <c r="P45" s="6"/>
      <c r="Q45" s="42"/>
      <c r="R45" s="6"/>
    </row>
    <row r="46" spans="1:18" s="8" customFormat="1" ht="15" customHeight="1">
      <c r="A46" s="19"/>
      <c r="B46" s="19" t="s">
        <v>182</v>
      </c>
      <c r="D46" s="19"/>
      <c r="E46" s="19"/>
      <c r="F46" s="19"/>
      <c r="G46" s="18"/>
      <c r="H46" s="144">
        <f>'[1]CBS'!$O$56+127000</f>
        <v>188999</v>
      </c>
      <c r="I46" s="20"/>
      <c r="J46" s="69">
        <v>150</v>
      </c>
      <c r="K46" s="18"/>
      <c r="L46" s="7"/>
      <c r="M46" s="6"/>
      <c r="N46" s="6"/>
      <c r="O46" s="6"/>
      <c r="P46" s="6"/>
      <c r="Q46" s="42"/>
      <c r="R46" s="6"/>
    </row>
    <row r="47" spans="1:18" s="8" customFormat="1" ht="15" customHeight="1">
      <c r="A47" s="19"/>
      <c r="B47" s="22"/>
      <c r="C47" s="19"/>
      <c r="D47" s="19"/>
      <c r="E47" s="19"/>
      <c r="F47" s="19"/>
      <c r="G47" s="18"/>
      <c r="H47" s="143">
        <f>SUM(H43:H46)</f>
        <v>456714070.08</v>
      </c>
      <c r="I47" s="20"/>
      <c r="J47" s="120">
        <f>SUM(J43:J46)</f>
        <v>272993</v>
      </c>
      <c r="K47" s="18"/>
      <c r="L47" s="7"/>
      <c r="M47" s="6"/>
      <c r="N47" s="6"/>
      <c r="O47" s="6"/>
      <c r="P47" s="6"/>
      <c r="Q47" s="42"/>
      <c r="R47" s="6"/>
    </row>
    <row r="48" spans="1:18" s="8" customFormat="1" ht="15" customHeight="1">
      <c r="A48" s="19"/>
      <c r="B48" s="19"/>
      <c r="C48" s="19"/>
      <c r="D48" s="19"/>
      <c r="E48" s="19"/>
      <c r="F48" s="19"/>
      <c r="G48" s="18"/>
      <c r="H48" s="137"/>
      <c r="I48" s="20"/>
      <c r="J48" s="21"/>
      <c r="K48" s="18"/>
      <c r="L48" s="7"/>
      <c r="M48" s="6"/>
      <c r="N48" s="6"/>
      <c r="O48" s="6"/>
      <c r="P48" s="6"/>
      <c r="Q48" s="42"/>
      <c r="R48" s="6"/>
    </row>
    <row r="49" spans="1:18" s="8" customFormat="1" ht="15" customHeight="1">
      <c r="A49" s="19"/>
      <c r="B49" s="22" t="s">
        <v>96</v>
      </c>
      <c r="C49" s="19"/>
      <c r="D49" s="19"/>
      <c r="E49" s="19"/>
      <c r="F49" s="19"/>
      <c r="G49" s="18"/>
      <c r="H49" s="137"/>
      <c r="I49" s="20"/>
      <c r="J49" s="21"/>
      <c r="K49" s="18"/>
      <c r="L49" s="7"/>
      <c r="M49" s="6"/>
      <c r="N49" s="6"/>
      <c r="O49" s="6"/>
      <c r="P49" s="6"/>
      <c r="Q49" s="42"/>
      <c r="R49" s="6"/>
    </row>
    <row r="50" spans="1:18" s="8" customFormat="1" ht="15" customHeight="1">
      <c r="A50" s="19"/>
      <c r="B50" s="19"/>
      <c r="C50" s="19"/>
      <c r="D50" s="19"/>
      <c r="E50" s="19"/>
      <c r="F50" s="19"/>
      <c r="G50" s="18"/>
      <c r="H50" s="137"/>
      <c r="I50" s="20"/>
      <c r="J50" s="21"/>
      <c r="K50" s="18"/>
      <c r="L50" s="7"/>
      <c r="M50" s="6"/>
      <c r="N50" s="6"/>
      <c r="O50" s="6"/>
      <c r="P50" s="6"/>
      <c r="Q50" s="42"/>
      <c r="R50" s="6"/>
    </row>
    <row r="51" spans="1:18" s="8" customFormat="1" ht="15" customHeight="1">
      <c r="A51" s="19"/>
      <c r="B51" s="19" t="s">
        <v>64</v>
      </c>
      <c r="D51" s="15"/>
      <c r="E51" s="15"/>
      <c r="F51" s="15"/>
      <c r="G51" s="15"/>
      <c r="H51" s="147">
        <f>'[1]CBS'!$O$36-207000</f>
        <v>37944260</v>
      </c>
      <c r="I51" s="64"/>
      <c r="J51" s="121">
        <v>19601</v>
      </c>
      <c r="K51" s="18"/>
      <c r="L51" s="7"/>
      <c r="M51" s="6"/>
      <c r="N51" s="6"/>
      <c r="O51" s="6"/>
      <c r="P51" s="6"/>
      <c r="Q51" s="42"/>
      <c r="R51" s="6"/>
    </row>
    <row r="52" spans="1:18" s="8" customFormat="1" ht="15" customHeight="1">
      <c r="A52" s="19"/>
      <c r="B52" s="19" t="s">
        <v>160</v>
      </c>
      <c r="D52" s="15"/>
      <c r="E52" s="15"/>
      <c r="F52" s="15"/>
      <c r="G52" s="15"/>
      <c r="H52" s="148">
        <f>'[1]CBS'!$O$37</f>
        <v>55577.73</v>
      </c>
      <c r="I52" s="64"/>
      <c r="J52" s="71">
        <v>67</v>
      </c>
      <c r="K52" s="18"/>
      <c r="L52" s="7"/>
      <c r="M52" s="6"/>
      <c r="N52" s="6"/>
      <c r="O52" s="6"/>
      <c r="P52" s="6"/>
      <c r="Q52" s="42"/>
      <c r="R52" s="6"/>
    </row>
    <row r="53" spans="1:18" s="8" customFormat="1" ht="15" customHeight="1">
      <c r="A53" s="19"/>
      <c r="B53" s="19" t="s">
        <v>79</v>
      </c>
      <c r="D53" s="15"/>
      <c r="E53" s="15"/>
      <c r="F53" s="15"/>
      <c r="G53" s="15"/>
      <c r="H53" s="148">
        <f>'[1]CBS'!$O$38</f>
        <v>206806</v>
      </c>
      <c r="I53" s="64"/>
      <c r="J53" s="71">
        <v>105</v>
      </c>
      <c r="K53" s="18"/>
      <c r="L53" s="7"/>
      <c r="M53" s="6"/>
      <c r="N53" s="6"/>
      <c r="O53" s="6"/>
      <c r="P53" s="6"/>
      <c r="Q53" s="42"/>
      <c r="R53" s="6"/>
    </row>
    <row r="54" spans="1:18" s="8" customFormat="1" ht="15" customHeight="1">
      <c r="A54" s="19"/>
      <c r="B54" s="19" t="s">
        <v>14</v>
      </c>
      <c r="D54" s="19"/>
      <c r="E54" s="19"/>
      <c r="F54" s="19"/>
      <c r="G54" s="18"/>
      <c r="H54" s="148">
        <f>'[1]CBS'!$O$39+13000000</f>
        <v>30257504</v>
      </c>
      <c r="I54" s="64"/>
      <c r="J54" s="71">
        <v>16286</v>
      </c>
      <c r="K54" s="18"/>
      <c r="L54" s="7"/>
      <c r="M54" s="6"/>
      <c r="N54" s="6"/>
      <c r="O54" s="6"/>
      <c r="P54" s="6"/>
      <c r="Q54" s="42"/>
      <c r="R54" s="6"/>
    </row>
    <row r="55" spans="1:18" s="8" customFormat="1" ht="15" customHeight="1">
      <c r="A55" s="19"/>
      <c r="B55" s="19" t="s">
        <v>61</v>
      </c>
      <c r="D55" s="19"/>
      <c r="E55" s="19"/>
      <c r="F55" s="19"/>
      <c r="G55" s="18"/>
      <c r="H55" s="148">
        <f>'[1]CBS'!$O$41</f>
        <v>3153403</v>
      </c>
      <c r="I55" s="64"/>
      <c r="J55" s="71">
        <v>635</v>
      </c>
      <c r="K55" s="18"/>
      <c r="L55" s="7"/>
      <c r="M55" s="6"/>
      <c r="N55" s="6"/>
      <c r="O55" s="6"/>
      <c r="P55" s="6"/>
      <c r="Q55" s="42"/>
      <c r="R55" s="6"/>
    </row>
    <row r="56" spans="1:18" s="8" customFormat="1" ht="15" customHeight="1">
      <c r="A56" s="19"/>
      <c r="B56" s="22"/>
      <c r="D56" s="19"/>
      <c r="E56" s="19"/>
      <c r="F56" s="19"/>
      <c r="G56" s="18"/>
      <c r="H56" s="145">
        <f>SUM(H51:H55)</f>
        <v>71617550.72999999</v>
      </c>
      <c r="I56" s="64"/>
      <c r="J56" s="72">
        <f>SUM(J51:J55)</f>
        <v>36694</v>
      </c>
      <c r="K56" s="18"/>
      <c r="L56" s="7"/>
      <c r="M56" s="6"/>
      <c r="N56" s="6"/>
      <c r="O56" s="6"/>
      <c r="P56" s="6"/>
      <c r="Q56" s="42"/>
      <c r="R56" s="6"/>
    </row>
    <row r="57" spans="1:18" s="8" customFormat="1" ht="15" customHeight="1">
      <c r="A57" s="19"/>
      <c r="B57" s="19"/>
      <c r="C57" s="19"/>
      <c r="D57" s="19"/>
      <c r="E57" s="19"/>
      <c r="F57" s="19"/>
      <c r="G57" s="18"/>
      <c r="H57" s="137"/>
      <c r="I57" s="20"/>
      <c r="J57" s="21"/>
      <c r="K57" s="18"/>
      <c r="L57" s="7"/>
      <c r="M57" s="6"/>
      <c r="N57" s="6"/>
      <c r="O57" s="6"/>
      <c r="P57" s="6"/>
      <c r="Q57" s="42"/>
      <c r="R57" s="6"/>
    </row>
    <row r="58" spans="1:18" s="8" customFormat="1" ht="15" customHeight="1">
      <c r="A58" s="19"/>
      <c r="B58" s="22" t="s">
        <v>89</v>
      </c>
      <c r="C58" s="19"/>
      <c r="D58" s="19"/>
      <c r="E58" s="19"/>
      <c r="F58" s="19"/>
      <c r="G58" s="18"/>
      <c r="H58" s="149">
        <f>+H47+H56</f>
        <v>528331620.80999994</v>
      </c>
      <c r="I58" s="20"/>
      <c r="J58" s="32">
        <f>+J47+J56</f>
        <v>309687</v>
      </c>
      <c r="K58" s="18"/>
      <c r="L58" s="7"/>
      <c r="M58" s="6"/>
      <c r="N58" s="6"/>
      <c r="O58" s="6"/>
      <c r="P58" s="6"/>
      <c r="Q58" s="42"/>
      <c r="R58" s="6"/>
    </row>
    <row r="59" spans="1:18" s="8" customFormat="1" ht="15" customHeight="1">
      <c r="A59" s="19"/>
      <c r="B59" s="19"/>
      <c r="C59" s="19"/>
      <c r="D59" s="19"/>
      <c r="E59" s="19"/>
      <c r="F59" s="19"/>
      <c r="G59" s="18"/>
      <c r="H59" s="137"/>
      <c r="I59" s="20"/>
      <c r="J59" s="21"/>
      <c r="K59" s="18"/>
      <c r="L59" s="7"/>
      <c r="M59" s="6"/>
      <c r="N59" s="6"/>
      <c r="O59" s="6"/>
      <c r="P59" s="6"/>
      <c r="Q59" s="42"/>
      <c r="R59" s="6"/>
    </row>
    <row r="60" spans="1:18" s="8" customFormat="1" ht="15" customHeight="1" thickBot="1">
      <c r="A60" s="19"/>
      <c r="B60" s="22" t="s">
        <v>90</v>
      </c>
      <c r="C60" s="19"/>
      <c r="D60" s="19"/>
      <c r="E60" s="19"/>
      <c r="F60" s="19"/>
      <c r="G60" s="18"/>
      <c r="H60" s="150">
        <f>+H58+H39</f>
        <v>690067521.81</v>
      </c>
      <c r="I60" s="20"/>
      <c r="J60" s="123">
        <f>+J58+J39</f>
        <v>402629</v>
      </c>
      <c r="K60" s="18"/>
      <c r="L60" s="7"/>
      <c r="M60" s="6"/>
      <c r="N60" s="6"/>
      <c r="O60" s="6"/>
      <c r="P60" s="6"/>
      <c r="Q60" s="42"/>
      <c r="R60" s="6"/>
    </row>
    <row r="61" spans="1:17" s="8" customFormat="1" ht="15" customHeight="1">
      <c r="A61" s="19"/>
      <c r="B61" s="19"/>
      <c r="C61" s="18"/>
      <c r="D61" s="19"/>
      <c r="E61" s="19"/>
      <c r="F61" s="19"/>
      <c r="G61" s="18"/>
      <c r="H61" s="20"/>
      <c r="I61" s="20"/>
      <c r="J61" s="21"/>
      <c r="K61" s="18"/>
      <c r="L61" s="7"/>
      <c r="M61" s="7"/>
      <c r="N61" s="7"/>
      <c r="O61" s="7"/>
      <c r="P61" s="7"/>
      <c r="Q61" s="38"/>
    </row>
    <row r="62" spans="1:17" s="8" customFormat="1" ht="15" customHeight="1" thickBot="1">
      <c r="A62" s="19"/>
      <c r="B62" s="22" t="s">
        <v>135</v>
      </c>
      <c r="C62" s="18"/>
      <c r="D62" s="19"/>
      <c r="E62" s="19"/>
      <c r="F62" s="19"/>
      <c r="G62" s="18"/>
      <c r="H62" s="109">
        <f>+H39/(H36*10)</f>
        <v>0.25023438368837686</v>
      </c>
      <c r="I62" s="20"/>
      <c r="J62" s="109">
        <f>+J39/468928</f>
        <v>0.19820100313907466</v>
      </c>
      <c r="K62" s="18"/>
      <c r="L62" s="7"/>
      <c r="M62" s="7"/>
      <c r="N62" s="7"/>
      <c r="O62" s="7"/>
      <c r="P62" s="7"/>
      <c r="Q62" s="38"/>
    </row>
    <row r="63" spans="1:17" s="8" customFormat="1" ht="15" customHeight="1" thickBot="1" thickTop="1">
      <c r="A63" s="18"/>
      <c r="B63" s="22" t="s">
        <v>6</v>
      </c>
      <c r="C63" s="19"/>
      <c r="D63" s="19"/>
      <c r="E63" s="19"/>
      <c r="F63" s="19"/>
      <c r="G63" s="18"/>
      <c r="H63" s="109">
        <f>+(H39-H14)/(H36*10)</f>
        <v>0.20586597122828867</v>
      </c>
      <c r="I63" s="20"/>
      <c r="J63" s="109">
        <f>+(J39-J14)/468928</f>
        <v>0.1377567558345844</v>
      </c>
      <c r="K63" s="18"/>
      <c r="L63" s="7"/>
      <c r="M63" s="7"/>
      <c r="N63" s="7"/>
      <c r="O63" s="7"/>
      <c r="P63" s="7"/>
      <c r="Q63" s="38"/>
    </row>
    <row r="64" spans="1:17" s="8" customFormat="1" ht="15" customHeight="1" thickTop="1">
      <c r="A64" s="18"/>
      <c r="B64" s="19"/>
      <c r="C64" s="19"/>
      <c r="D64" s="19"/>
      <c r="E64" s="19"/>
      <c r="F64" s="19"/>
      <c r="G64" s="18"/>
      <c r="H64" s="94"/>
      <c r="I64" s="20"/>
      <c r="J64" s="94"/>
      <c r="K64" s="18"/>
      <c r="L64" s="7"/>
      <c r="M64" s="7"/>
      <c r="N64" s="7"/>
      <c r="O64" s="7"/>
      <c r="P64" s="7"/>
      <c r="Q64" s="38"/>
    </row>
    <row r="65" ht="15">
      <c r="A65" s="18"/>
    </row>
    <row r="66" ht="15">
      <c r="A66" s="18"/>
    </row>
    <row r="68" ht="12.75">
      <c r="H68" s="133"/>
    </row>
    <row r="70" spans="2:11" ht="15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5">
      <c r="B71" s="65"/>
      <c r="C71" s="18"/>
      <c r="D71" s="18"/>
      <c r="E71" s="18"/>
      <c r="F71" s="18"/>
      <c r="G71" s="18"/>
      <c r="H71" s="18"/>
      <c r="I71" s="18"/>
      <c r="J71" s="18"/>
      <c r="K71" s="18"/>
    </row>
  </sheetData>
  <mergeCells count="1">
    <mergeCell ref="H4:J4"/>
  </mergeCells>
  <printOptions horizontalCentered="1"/>
  <pageMargins left="0.38" right="0.4" top="0.54" bottom="0.34" header="0.8" footer="0.16"/>
  <pageSetup fitToHeight="1" fitToWidth="1" horizontalDpi="600" verticalDpi="600" orientation="portrait" paperSize="9" scale="81" r:id="rId2"/>
  <ignoredErrors>
    <ignoredError sqref="H69:H106 H61 H64:H67 H57 H47:H50 H59 I46:I106 K46:K106 J46:J106 J39:J44 K39:K45 I39:I45 H40:H42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4">
      <selection activeCell="B34" sqref="B34"/>
    </sheetView>
  </sheetViews>
  <sheetFormatPr defaultColWidth="9.140625" defaultRowHeight="12.75"/>
  <cols>
    <col min="1" max="1" width="3.8515625" style="73" customWidth="1"/>
    <col min="2" max="2" width="43.28125" style="73" customWidth="1"/>
    <col min="3" max="3" width="14.28125" style="73" bestFit="1" customWidth="1"/>
    <col min="4" max="4" width="1.57421875" style="73" customWidth="1"/>
    <col min="5" max="5" width="13.7109375" style="73" bestFit="1" customWidth="1"/>
    <col min="6" max="6" width="1.421875" style="73" hidden="1" customWidth="1"/>
    <col min="7" max="7" width="14.421875" style="73" hidden="1" customWidth="1"/>
    <col min="8" max="8" width="1.421875" style="73" customWidth="1"/>
    <col min="9" max="9" width="16.7109375" style="73" bestFit="1" customWidth="1"/>
    <col min="10" max="10" width="1.7109375" style="73" hidden="1" customWidth="1"/>
    <col min="11" max="11" width="14.28125" style="73" hidden="1" customWidth="1"/>
    <col min="12" max="12" width="1.7109375" style="73" customWidth="1"/>
    <col min="13" max="13" width="17.00390625" style="74" bestFit="1" customWidth="1"/>
    <col min="14" max="14" width="1.421875" style="74" customWidth="1"/>
    <col min="15" max="15" width="15.140625" style="73" customWidth="1"/>
    <col min="16" max="16" width="1.421875" style="73" customWidth="1"/>
    <col min="17" max="17" width="13.421875" style="73" customWidth="1"/>
    <col min="18" max="18" width="1.421875" style="73" customWidth="1"/>
    <col min="19" max="19" width="15.140625" style="73" customWidth="1"/>
    <col min="20" max="16384" width="39.57421875" style="73" customWidth="1"/>
  </cols>
  <sheetData>
    <row r="1" ht="15.75">
      <c r="B1" s="34" t="s">
        <v>43</v>
      </c>
    </row>
    <row r="2" ht="15.75">
      <c r="B2" s="33" t="s">
        <v>8</v>
      </c>
    </row>
    <row r="3" ht="15.75">
      <c r="B3" s="22" t="s">
        <v>0</v>
      </c>
    </row>
    <row r="4" ht="15.75">
      <c r="B4" s="22"/>
    </row>
    <row r="5" spans="2:11" ht="15.75">
      <c r="B5" s="75" t="s">
        <v>68</v>
      </c>
      <c r="C5" s="76"/>
      <c r="D5" s="76"/>
      <c r="E5" s="76"/>
      <c r="F5" s="76"/>
      <c r="G5" s="76"/>
      <c r="H5" s="76"/>
      <c r="I5" s="76"/>
      <c r="J5" s="76"/>
      <c r="K5" s="76"/>
    </row>
    <row r="6" spans="2:13" ht="15.75">
      <c r="B6" s="75"/>
      <c r="C6" s="76"/>
      <c r="D6" s="76"/>
      <c r="E6" s="76"/>
      <c r="F6" s="76"/>
      <c r="G6" s="76"/>
      <c r="H6" s="76"/>
      <c r="I6" s="76"/>
      <c r="J6" s="76"/>
      <c r="K6" s="76"/>
      <c r="M6" s="73"/>
    </row>
    <row r="7" spans="2:16" ht="15.75">
      <c r="B7" s="77"/>
      <c r="C7" s="184" t="s">
        <v>106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</row>
    <row r="8" spans="1:14" ht="15.75">
      <c r="A8" s="78"/>
      <c r="B8" s="78"/>
      <c r="J8" s="79"/>
      <c r="K8" s="79"/>
      <c r="L8" s="78"/>
      <c r="M8" s="78"/>
      <c r="N8" s="78"/>
    </row>
    <row r="9" spans="1:19" ht="15.75">
      <c r="A9" s="78"/>
      <c r="B9" s="78"/>
      <c r="C9" s="78" t="s">
        <v>66</v>
      </c>
      <c r="D9" s="78"/>
      <c r="E9" s="78" t="s">
        <v>66</v>
      </c>
      <c r="F9" s="78"/>
      <c r="G9" s="78" t="s">
        <v>22</v>
      </c>
      <c r="H9" s="78"/>
      <c r="I9" s="78" t="s">
        <v>36</v>
      </c>
      <c r="J9" s="78"/>
      <c r="K9" s="78" t="s">
        <v>46</v>
      </c>
      <c r="L9" s="78"/>
      <c r="M9" s="78" t="s">
        <v>40</v>
      </c>
      <c r="N9" s="78"/>
      <c r="Q9" s="78" t="s">
        <v>102</v>
      </c>
      <c r="S9" s="78" t="s">
        <v>17</v>
      </c>
    </row>
    <row r="10" spans="1:19" ht="15.75">
      <c r="A10" s="78"/>
      <c r="B10" s="78"/>
      <c r="C10" s="78" t="s">
        <v>23</v>
      </c>
      <c r="D10" s="78"/>
      <c r="E10" s="78" t="s">
        <v>76</v>
      </c>
      <c r="F10" s="78"/>
      <c r="G10" s="78" t="s">
        <v>16</v>
      </c>
      <c r="H10" s="78"/>
      <c r="I10" s="78" t="s">
        <v>37</v>
      </c>
      <c r="J10" s="78"/>
      <c r="K10" s="78" t="s">
        <v>16</v>
      </c>
      <c r="L10" s="78"/>
      <c r="M10" s="78" t="s">
        <v>65</v>
      </c>
      <c r="N10" s="78"/>
      <c r="O10" s="78" t="s">
        <v>17</v>
      </c>
      <c r="Q10" s="78" t="s">
        <v>103</v>
      </c>
      <c r="S10" s="78" t="s">
        <v>104</v>
      </c>
    </row>
    <row r="11" spans="2:19" ht="15.75">
      <c r="B11" s="80" t="s">
        <v>148</v>
      </c>
      <c r="C11" s="78" t="s">
        <v>13</v>
      </c>
      <c r="D11" s="78"/>
      <c r="E11" s="78" t="s">
        <v>13</v>
      </c>
      <c r="F11" s="78"/>
      <c r="G11" s="78" t="s">
        <v>13</v>
      </c>
      <c r="H11" s="78"/>
      <c r="I11" s="78" t="s">
        <v>13</v>
      </c>
      <c r="J11" s="78"/>
      <c r="K11" s="78" t="s">
        <v>13</v>
      </c>
      <c r="L11" s="78"/>
      <c r="M11" s="78" t="s">
        <v>13</v>
      </c>
      <c r="N11" s="78"/>
      <c r="O11" s="78" t="s">
        <v>13</v>
      </c>
      <c r="Q11" s="78" t="s">
        <v>13</v>
      </c>
      <c r="S11" s="78" t="s">
        <v>13</v>
      </c>
    </row>
    <row r="14" spans="2:19" ht="15.75">
      <c r="B14" s="77" t="s">
        <v>119</v>
      </c>
      <c r="C14" s="151">
        <v>46893000</v>
      </c>
      <c r="D14" s="151"/>
      <c r="E14" s="151">
        <v>8042000</v>
      </c>
      <c r="F14" s="151"/>
      <c r="G14" s="151">
        <v>0</v>
      </c>
      <c r="H14" s="151"/>
      <c r="I14" s="151">
        <v>2155000</v>
      </c>
      <c r="J14" s="151"/>
      <c r="K14" s="151">
        <v>0</v>
      </c>
      <c r="L14" s="151"/>
      <c r="M14" s="151">
        <f>35852000</f>
        <v>35852000</v>
      </c>
      <c r="N14" s="151"/>
      <c r="O14" s="151">
        <f>SUM(C14:N14)</f>
        <v>92942000</v>
      </c>
      <c r="P14" s="154"/>
      <c r="Q14" s="62">
        <v>0</v>
      </c>
      <c r="R14" s="154"/>
      <c r="S14" s="154">
        <f>SUM(O14:Q14)</f>
        <v>92942000</v>
      </c>
    </row>
    <row r="15" spans="2:19" ht="15">
      <c r="B15" s="73" t="s">
        <v>105</v>
      </c>
      <c r="C15" s="160">
        <v>0</v>
      </c>
      <c r="D15" s="160"/>
      <c r="E15" s="160">
        <v>0</v>
      </c>
      <c r="F15" s="152"/>
      <c r="G15" s="152"/>
      <c r="H15" s="152"/>
      <c r="I15" s="152">
        <v>-2155000</v>
      </c>
      <c r="J15" s="152"/>
      <c r="K15" s="152"/>
      <c r="L15" s="152"/>
      <c r="M15" s="152">
        <v>2155000</v>
      </c>
      <c r="N15" s="152"/>
      <c r="O15" s="160">
        <f>SUM(C15:N15)</f>
        <v>0</v>
      </c>
      <c r="P15" s="155"/>
      <c r="Q15" s="160">
        <v>0</v>
      </c>
      <c r="R15" s="155"/>
      <c r="S15" s="160">
        <f>SUM(O15:Q15)</f>
        <v>0</v>
      </c>
    </row>
    <row r="16" spans="2:19" ht="15.75">
      <c r="B16" s="77"/>
      <c r="C16" s="153">
        <f>SUM(C14:C15)</f>
        <v>46893000</v>
      </c>
      <c r="D16" s="153"/>
      <c r="E16" s="153">
        <f>SUM(E14:E15)</f>
        <v>8042000</v>
      </c>
      <c r="F16" s="153"/>
      <c r="G16" s="153">
        <f>SUM(G14:G15)</f>
        <v>0</v>
      </c>
      <c r="H16" s="153"/>
      <c r="I16" s="162">
        <f>SUM(I14:I15)</f>
        <v>0</v>
      </c>
      <c r="J16" s="153"/>
      <c r="K16" s="153">
        <f>SUM(K14:K15)</f>
        <v>0</v>
      </c>
      <c r="L16" s="153"/>
      <c r="M16" s="153">
        <f>SUM(M14:M15)</f>
        <v>38007000</v>
      </c>
      <c r="N16" s="153"/>
      <c r="O16" s="153">
        <f>SUM(O14:O15)</f>
        <v>92942000</v>
      </c>
      <c r="P16" s="156"/>
      <c r="Q16" s="162">
        <f>SUM(Q14:Q15)</f>
        <v>0</v>
      </c>
      <c r="R16" s="156"/>
      <c r="S16" s="156">
        <f>SUM(S14:S15)</f>
        <v>92942000</v>
      </c>
    </row>
    <row r="17" spans="2:19" ht="15.75">
      <c r="B17" s="7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  <c r="Q17" s="161"/>
      <c r="R17" s="158"/>
      <c r="S17" s="158"/>
    </row>
    <row r="18" spans="2:19" ht="15">
      <c r="B18" s="73" t="s">
        <v>117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4"/>
      <c r="Q18" s="62"/>
      <c r="R18" s="154"/>
      <c r="S18" s="154"/>
    </row>
    <row r="19" spans="2:19" ht="15">
      <c r="B19" s="73" t="s">
        <v>118</v>
      </c>
      <c r="C19" s="161">
        <v>0</v>
      </c>
      <c r="D19" s="157"/>
      <c r="E19" s="157">
        <f>'[1]CFS'!$AE$77+1000</f>
        <v>-294820</v>
      </c>
      <c r="F19" s="157"/>
      <c r="G19" s="157"/>
      <c r="H19" s="157"/>
      <c r="I19" s="161">
        <v>0</v>
      </c>
      <c r="J19" s="161"/>
      <c r="K19" s="161"/>
      <c r="L19" s="161"/>
      <c r="M19" s="161">
        <v>0</v>
      </c>
      <c r="N19" s="157"/>
      <c r="O19" s="157">
        <f>SUM(C19:M19)</f>
        <v>-294820</v>
      </c>
      <c r="P19" s="158"/>
      <c r="Q19" s="161">
        <v>0</v>
      </c>
      <c r="R19" s="158"/>
      <c r="S19" s="157">
        <f>SUM(O19:Q19)</f>
        <v>-294820</v>
      </c>
    </row>
    <row r="20" spans="2:19" ht="15">
      <c r="B20" s="73" t="s">
        <v>175</v>
      </c>
      <c r="C20" s="160">
        <v>0</v>
      </c>
      <c r="D20" s="152"/>
      <c r="E20" s="160">
        <v>0</v>
      </c>
      <c r="F20" s="160"/>
      <c r="G20" s="160"/>
      <c r="H20" s="160"/>
      <c r="I20" s="160">
        <v>0</v>
      </c>
      <c r="J20" s="152"/>
      <c r="K20" s="152"/>
      <c r="L20" s="152"/>
      <c r="M20" s="152">
        <f>'Income Statement'!G39</f>
        <v>63371378</v>
      </c>
      <c r="N20" s="152"/>
      <c r="O20" s="152">
        <f>SUM(C20:M20)-400</f>
        <v>63370978</v>
      </c>
      <c r="P20" s="155"/>
      <c r="Q20" s="160">
        <v>0</v>
      </c>
      <c r="R20" s="155"/>
      <c r="S20" s="152">
        <f>SUM(O20:Q20)</f>
        <v>63370978</v>
      </c>
    </row>
    <row r="21" spans="2:19" ht="15">
      <c r="B21" s="73" t="s">
        <v>134</v>
      </c>
      <c r="C21" s="161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8"/>
      <c r="Q21" s="161"/>
      <c r="R21" s="158"/>
      <c r="S21" s="157"/>
    </row>
    <row r="22" spans="2:19" ht="15">
      <c r="B22" s="73" t="s">
        <v>177</v>
      </c>
      <c r="C22" s="160">
        <f>SUM(C19:C20)</f>
        <v>0</v>
      </c>
      <c r="D22" s="152"/>
      <c r="E22" s="152">
        <f>SUM(E19:E20)</f>
        <v>-294820</v>
      </c>
      <c r="F22" s="152"/>
      <c r="G22" s="152"/>
      <c r="H22" s="152"/>
      <c r="I22" s="160">
        <f>SUM(I19:I20)</f>
        <v>0</v>
      </c>
      <c r="J22" s="152"/>
      <c r="K22" s="152"/>
      <c r="L22" s="152"/>
      <c r="M22" s="152">
        <f>SUM(M19:M20)</f>
        <v>63371378</v>
      </c>
      <c r="N22" s="152"/>
      <c r="O22" s="152">
        <f>SUM(O19:O20)</f>
        <v>63076158</v>
      </c>
      <c r="P22" s="155"/>
      <c r="Q22" s="160">
        <f>SUM(Q19:Q20)</f>
        <v>0</v>
      </c>
      <c r="R22" s="155"/>
      <c r="S22" s="152">
        <f>SUM(S19:S20)</f>
        <v>63076158</v>
      </c>
    </row>
    <row r="23" spans="3:19" ht="15">
      <c r="C23" s="157"/>
      <c r="D23" s="157"/>
      <c r="E23" s="157"/>
      <c r="F23" s="157"/>
      <c r="G23" s="157"/>
      <c r="H23" s="157"/>
      <c r="I23" s="161"/>
      <c r="J23" s="157"/>
      <c r="K23" s="157"/>
      <c r="L23" s="157"/>
      <c r="M23" s="157"/>
      <c r="N23" s="157"/>
      <c r="O23" s="157"/>
      <c r="P23" s="158"/>
      <c r="Q23" s="161"/>
      <c r="R23" s="158"/>
      <c r="S23" s="157"/>
    </row>
    <row r="24" spans="2:19" ht="15">
      <c r="B24" s="73" t="s">
        <v>154</v>
      </c>
      <c r="C24" s="157">
        <v>15631000</v>
      </c>
      <c r="D24" s="157"/>
      <c r="E24" s="157">
        <v>-7792000</v>
      </c>
      <c r="F24" s="157"/>
      <c r="G24" s="157"/>
      <c r="H24" s="157"/>
      <c r="I24" s="161">
        <v>0</v>
      </c>
      <c r="J24" s="157"/>
      <c r="K24" s="157"/>
      <c r="L24" s="157"/>
      <c r="M24" s="157">
        <f>-7839000</f>
        <v>-7839000</v>
      </c>
      <c r="N24" s="157"/>
      <c r="O24" s="161">
        <f>SUM(C24:M24)</f>
        <v>0</v>
      </c>
      <c r="P24" s="161"/>
      <c r="Q24" s="161">
        <v>0</v>
      </c>
      <c r="R24" s="161"/>
      <c r="S24" s="161">
        <f>SUM(O24:Q24)</f>
        <v>0</v>
      </c>
    </row>
    <row r="25" spans="2:19" ht="15">
      <c r="B25" s="73" t="s">
        <v>155</v>
      </c>
      <c r="C25" s="157">
        <f>'[1]CFS'!$AD$76</f>
        <v>2110000</v>
      </c>
      <c r="D25" s="157"/>
      <c r="E25" s="157">
        <f>'[1]CFS'!$AE$76</f>
        <v>3608100</v>
      </c>
      <c r="F25" s="157"/>
      <c r="G25" s="157"/>
      <c r="H25" s="157"/>
      <c r="I25" s="161">
        <v>0</v>
      </c>
      <c r="J25" s="157"/>
      <c r="K25" s="157"/>
      <c r="L25" s="157"/>
      <c r="M25" s="161">
        <v>0</v>
      </c>
      <c r="N25" s="157"/>
      <c r="O25" s="157">
        <f>SUM(C25:M25)</f>
        <v>5718100</v>
      </c>
      <c r="P25" s="158"/>
      <c r="Q25" s="161">
        <v>0</v>
      </c>
      <c r="R25" s="158"/>
      <c r="S25" s="157">
        <f>SUM(O25:Q25)</f>
        <v>5718100</v>
      </c>
    </row>
    <row r="26" spans="3:19" ht="15">
      <c r="C26" s="151"/>
      <c r="D26" s="151"/>
      <c r="E26" s="151"/>
      <c r="F26" s="151"/>
      <c r="G26" s="151"/>
      <c r="H26" s="151"/>
      <c r="I26" s="62"/>
      <c r="J26" s="151"/>
      <c r="K26" s="151"/>
      <c r="L26" s="151"/>
      <c r="M26" s="151"/>
      <c r="N26" s="151"/>
      <c r="O26" s="151"/>
      <c r="P26" s="154"/>
      <c r="Q26" s="62"/>
      <c r="R26" s="154"/>
      <c r="S26" s="154"/>
    </row>
    <row r="27" spans="2:19" ht="15.75">
      <c r="B27" s="77" t="s">
        <v>148</v>
      </c>
      <c r="C27" s="153">
        <f>C16+C22+C24+C25</f>
        <v>64634000</v>
      </c>
      <c r="D27" s="153">
        <f>SUM(D16:D26)</f>
        <v>0</v>
      </c>
      <c r="E27" s="153">
        <f>E16+E22+E24+E25</f>
        <v>3563280</v>
      </c>
      <c r="F27" s="153">
        <f>SUM(F16:F26)</f>
        <v>0</v>
      </c>
      <c r="G27" s="153">
        <f>SUM(G16:G26)</f>
        <v>0</v>
      </c>
      <c r="H27" s="153">
        <f>SUM(H16:H26)</f>
        <v>0</v>
      </c>
      <c r="I27" s="162">
        <f>I16+I22+I24+I25</f>
        <v>0</v>
      </c>
      <c r="J27" s="153">
        <f>SUM(J16:J26)</f>
        <v>0</v>
      </c>
      <c r="K27" s="153">
        <f>SUM(K16:K26)</f>
        <v>0</v>
      </c>
      <c r="L27" s="153">
        <f>SUM(L16:L26)</f>
        <v>0</v>
      </c>
      <c r="M27" s="153">
        <f>M16+M22+M24+M25</f>
        <v>93539378</v>
      </c>
      <c r="N27" s="153">
        <f>SUM(N16:N26)</f>
        <v>0</v>
      </c>
      <c r="O27" s="153">
        <f>O16+O22+O24+O25</f>
        <v>161736258</v>
      </c>
      <c r="P27" s="153">
        <f>SUM(P16:P26)</f>
        <v>0</v>
      </c>
      <c r="Q27" s="162">
        <f>Q16+Q22+Q24</f>
        <v>0</v>
      </c>
      <c r="R27" s="153">
        <f>SUM(R16:R26)</f>
        <v>0</v>
      </c>
      <c r="S27" s="153">
        <f>S16+S22+S24+S25</f>
        <v>161736258</v>
      </c>
    </row>
    <row r="28" spans="3:19" ht="15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</row>
    <row r="29" spans="2:19" ht="15.75">
      <c r="B29" s="80" t="s">
        <v>149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4"/>
      <c r="Q29" s="154"/>
      <c r="R29" s="154"/>
      <c r="S29" s="154"/>
    </row>
    <row r="30" spans="3:19" ht="15"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</row>
    <row r="31" spans="2:19" ht="15.75">
      <c r="B31" s="77" t="s">
        <v>120</v>
      </c>
      <c r="C31" s="151">
        <v>40151000</v>
      </c>
      <c r="D31" s="151"/>
      <c r="E31" s="62">
        <v>0</v>
      </c>
      <c r="F31" s="151"/>
      <c r="G31" s="151">
        <v>0</v>
      </c>
      <c r="H31" s="151"/>
      <c r="I31" s="151">
        <v>2155000</v>
      </c>
      <c r="J31" s="151"/>
      <c r="K31" s="151">
        <v>0</v>
      </c>
      <c r="L31" s="151"/>
      <c r="M31" s="151">
        <v>16061000</v>
      </c>
      <c r="N31" s="151"/>
      <c r="O31" s="151">
        <f>SUM(C31:M31)</f>
        <v>58367000</v>
      </c>
      <c r="P31" s="154"/>
      <c r="Q31" s="163">
        <v>3134000</v>
      </c>
      <c r="R31" s="154"/>
      <c r="S31" s="154">
        <f>SUM(O31:Q31)</f>
        <v>61501000</v>
      </c>
    </row>
    <row r="32" spans="3:19" ht="15"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4"/>
      <c r="Q32" s="163"/>
      <c r="R32" s="154"/>
      <c r="S32" s="154"/>
    </row>
    <row r="33" spans="2:19" ht="15">
      <c r="B33" s="73" t="s">
        <v>175</v>
      </c>
      <c r="C33" s="161">
        <v>0</v>
      </c>
      <c r="D33" s="161"/>
      <c r="E33" s="161">
        <v>0</v>
      </c>
      <c r="F33" s="161"/>
      <c r="G33" s="161"/>
      <c r="H33" s="161"/>
      <c r="I33" s="161">
        <v>0</v>
      </c>
      <c r="J33" s="157"/>
      <c r="K33" s="157"/>
      <c r="L33" s="157"/>
      <c r="M33" s="157">
        <v>19791000</v>
      </c>
      <c r="N33" s="157"/>
      <c r="O33" s="157">
        <f>SUM(C33:M33)</f>
        <v>19791000</v>
      </c>
      <c r="P33" s="158"/>
      <c r="Q33" s="164">
        <v>2524000</v>
      </c>
      <c r="R33" s="158"/>
      <c r="S33" s="158">
        <f>SUM(O33:Q33)</f>
        <v>22315000</v>
      </c>
    </row>
    <row r="34" spans="2:19" ht="15">
      <c r="B34" s="73" t="s">
        <v>156</v>
      </c>
      <c r="C34" s="157">
        <v>6742000</v>
      </c>
      <c r="D34" s="157"/>
      <c r="E34" s="157">
        <v>8042000</v>
      </c>
      <c r="F34" s="157"/>
      <c r="G34" s="157"/>
      <c r="H34" s="157"/>
      <c r="I34" s="161">
        <v>0</v>
      </c>
      <c r="J34" s="161"/>
      <c r="K34" s="161"/>
      <c r="L34" s="161"/>
      <c r="M34" s="161">
        <v>0</v>
      </c>
      <c r="N34" s="157"/>
      <c r="O34" s="157">
        <f>SUM(C34:M34)</f>
        <v>14784000</v>
      </c>
      <c r="P34" s="158"/>
      <c r="Q34" s="178">
        <v>0</v>
      </c>
      <c r="R34" s="158"/>
      <c r="S34" s="158">
        <f>SUM(O34:Q34)</f>
        <v>14784000</v>
      </c>
    </row>
    <row r="35" spans="2:19" ht="15">
      <c r="B35" s="73" t="s">
        <v>150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/>
      <c r="Q35" s="164"/>
      <c r="R35" s="158"/>
      <c r="S35" s="158"/>
    </row>
    <row r="36" spans="2:19" ht="15">
      <c r="B36" s="73" t="s">
        <v>151</v>
      </c>
      <c r="C36" s="161">
        <v>0</v>
      </c>
      <c r="D36" s="161"/>
      <c r="E36" s="161">
        <v>0</v>
      </c>
      <c r="F36" s="161"/>
      <c r="G36" s="161"/>
      <c r="H36" s="161"/>
      <c r="I36" s="161">
        <v>0</v>
      </c>
      <c r="J36" s="161"/>
      <c r="K36" s="161"/>
      <c r="L36" s="161"/>
      <c r="M36" s="161">
        <v>0</v>
      </c>
      <c r="N36" s="157"/>
      <c r="O36" s="161">
        <v>0</v>
      </c>
      <c r="P36" s="158"/>
      <c r="Q36" s="164">
        <v>-5658000</v>
      </c>
      <c r="R36" s="158"/>
      <c r="S36" s="158">
        <f>SUM(O36:Q36)</f>
        <v>-5658000</v>
      </c>
    </row>
    <row r="37" spans="3:19" ht="15"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4"/>
      <c r="Q37" s="165"/>
      <c r="R37" s="154"/>
      <c r="S37" s="154"/>
    </row>
    <row r="38" spans="2:19" ht="15.75">
      <c r="B38" s="77" t="s">
        <v>149</v>
      </c>
      <c r="C38" s="153">
        <f>SUM(C31:C37)</f>
        <v>46893000</v>
      </c>
      <c r="D38" s="153"/>
      <c r="E38" s="153">
        <f>SUM(E31:E37)</f>
        <v>8042000</v>
      </c>
      <c r="F38" s="153"/>
      <c r="G38" s="153">
        <f>SUM(G31:G31)</f>
        <v>0</v>
      </c>
      <c r="H38" s="153"/>
      <c r="I38" s="153">
        <f>SUM(I31:I37)</f>
        <v>2155000</v>
      </c>
      <c r="J38" s="153"/>
      <c r="K38" s="153">
        <f>SUM(K31:K31)</f>
        <v>0</v>
      </c>
      <c r="L38" s="153"/>
      <c r="M38" s="153">
        <f>SUM(M31:M37)</f>
        <v>35852000</v>
      </c>
      <c r="N38" s="153"/>
      <c r="O38" s="153">
        <f>SUM(O31:O37)</f>
        <v>92942000</v>
      </c>
      <c r="P38" s="153"/>
      <c r="Q38" s="172">
        <f>SUM(Q31:Q37)</f>
        <v>0</v>
      </c>
      <c r="R38" s="153"/>
      <c r="S38" s="153">
        <f>SUM(S31:S37)</f>
        <v>92942000</v>
      </c>
    </row>
    <row r="39" s="18" customFormat="1" ht="15"/>
  </sheetData>
  <mergeCells count="1">
    <mergeCell ref="C7:P7"/>
  </mergeCells>
  <printOptions horizontalCentered="1"/>
  <pageMargins left="0.75" right="0.75" top="1" bottom="0.8" header="0.5" footer="0.5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3"/>
  <sheetViews>
    <sheetView view="pageBreakPreview" zoomScale="85" zoomScaleNormal="90" zoomScaleSheetLayoutView="85" workbookViewId="0" topLeftCell="A74">
      <selection activeCell="B92" sqref="B92"/>
    </sheetView>
  </sheetViews>
  <sheetFormatPr defaultColWidth="9.140625" defaultRowHeight="12.75"/>
  <cols>
    <col min="1" max="1" width="2.140625" style="65" customWidth="1"/>
    <col min="2" max="2" width="3.28125" style="65" customWidth="1"/>
    <col min="3" max="3" width="63.00390625" style="65" customWidth="1"/>
    <col min="4" max="4" width="3.421875" style="65" customWidth="1"/>
    <col min="5" max="5" width="16.28125" style="65" hidden="1" customWidth="1"/>
    <col min="6" max="6" width="17.7109375" style="81" customWidth="1"/>
    <col min="7" max="7" width="3.421875" style="65" customWidth="1"/>
    <col min="8" max="8" width="14.28125" style="65" customWidth="1"/>
    <col min="9" max="16384" width="9.140625" style="65" customWidth="1"/>
  </cols>
  <sheetData>
    <row r="1" s="81" customFormat="1" ht="15.75">
      <c r="B1" s="34" t="s">
        <v>43</v>
      </c>
    </row>
    <row r="2" spans="2:8" s="81" customFormat="1" ht="15.75">
      <c r="B2" s="33" t="s">
        <v>8</v>
      </c>
      <c r="H2" s="82"/>
    </row>
    <row r="3" spans="2:8" s="81" customFormat="1" ht="15.75">
      <c r="B3" s="22" t="s">
        <v>0</v>
      </c>
      <c r="H3" s="82"/>
    </row>
    <row r="4" s="81" customFormat="1" ht="15.75">
      <c r="B4" s="81" t="s">
        <v>69</v>
      </c>
    </row>
    <row r="5" s="81" customFormat="1" ht="15.75" hidden="1">
      <c r="B5" s="81" t="s">
        <v>47</v>
      </c>
    </row>
    <row r="6" s="81" customFormat="1" ht="15.75">
      <c r="B6" s="81" t="s">
        <v>15</v>
      </c>
    </row>
    <row r="7" spans="6:8" ht="15.75">
      <c r="F7" s="113" t="s">
        <v>58</v>
      </c>
      <c r="H7" s="110" t="s">
        <v>58</v>
      </c>
    </row>
    <row r="8" spans="6:8" ht="15.75">
      <c r="F8" s="113" t="s">
        <v>48</v>
      </c>
      <c r="H8" s="110" t="s">
        <v>48</v>
      </c>
    </row>
    <row r="9" spans="6:8" ht="15.75">
      <c r="F9" s="124">
        <v>39172</v>
      </c>
      <c r="H9" s="125">
        <v>38807</v>
      </c>
    </row>
    <row r="10" spans="6:8" ht="15.75">
      <c r="F10" s="113" t="s">
        <v>5</v>
      </c>
      <c r="H10" s="110" t="s">
        <v>5</v>
      </c>
    </row>
    <row r="11" spans="6:8" ht="15.75">
      <c r="F11" s="113"/>
      <c r="H11" s="110"/>
    </row>
    <row r="12" spans="2:6" ht="15.75">
      <c r="B12" s="83" t="s">
        <v>18</v>
      </c>
      <c r="C12" s="84"/>
      <c r="D12" s="85"/>
      <c r="E12" s="86"/>
      <c r="F12" s="114"/>
    </row>
    <row r="13" spans="2:8" ht="15.75">
      <c r="B13" s="88" t="s">
        <v>175</v>
      </c>
      <c r="C13" s="89"/>
      <c r="D13" s="85"/>
      <c r="E13" s="86"/>
      <c r="F13" s="166">
        <f>+'Income Statement'!G36</f>
        <v>63371378</v>
      </c>
      <c r="G13" s="27"/>
      <c r="H13" s="27">
        <f>+'Income Statement'!I36</f>
        <v>22315</v>
      </c>
    </row>
    <row r="14" spans="2:8" ht="15.75">
      <c r="B14" s="88" t="s">
        <v>19</v>
      </c>
      <c r="C14" s="89"/>
      <c r="D14" s="85"/>
      <c r="E14" s="86"/>
      <c r="F14" s="166"/>
      <c r="G14" s="27"/>
      <c r="H14" s="27"/>
    </row>
    <row r="15" spans="2:8" ht="15.75">
      <c r="B15" s="88"/>
      <c r="C15" s="88" t="s">
        <v>163</v>
      </c>
      <c r="D15" s="85"/>
      <c r="E15" s="86"/>
      <c r="F15" s="166">
        <f>'[1]CFS'!$B$16+400+151000</f>
        <v>3267968</v>
      </c>
      <c r="G15" s="27"/>
      <c r="H15" s="27">
        <v>16426</v>
      </c>
    </row>
    <row r="16" spans="2:8" ht="15.75">
      <c r="B16" s="88"/>
      <c r="C16" s="88" t="s">
        <v>25</v>
      </c>
      <c r="D16" s="85"/>
      <c r="E16" s="86"/>
      <c r="F16" s="166">
        <f>'[1]CFS'!$B$15+400+6484000-6492000</f>
        <v>29287178</v>
      </c>
      <c r="G16" s="27"/>
      <c r="H16" s="27">
        <v>9902</v>
      </c>
    </row>
    <row r="17" spans="2:8" ht="15.75">
      <c r="B17" s="88"/>
      <c r="C17" s="88" t="s">
        <v>161</v>
      </c>
      <c r="D17" s="85"/>
      <c r="E17" s="86"/>
      <c r="F17" s="166">
        <f>-'Income Statement'!G34</f>
        <v>10388532</v>
      </c>
      <c r="G17" s="27"/>
      <c r="H17" s="27">
        <f>-'Income Statement'!I34</f>
        <v>1197</v>
      </c>
    </row>
    <row r="18" spans="2:8" ht="15.75">
      <c r="B18" s="88"/>
      <c r="C18" s="88" t="s">
        <v>144</v>
      </c>
      <c r="D18" s="85"/>
      <c r="E18" s="86"/>
      <c r="F18" s="166">
        <f>'[1]CFS'!$B$19</f>
        <v>3506353</v>
      </c>
      <c r="G18" s="27"/>
      <c r="H18" s="27">
        <v>0</v>
      </c>
    </row>
    <row r="19" spans="2:7" ht="15.75">
      <c r="B19" s="88"/>
      <c r="C19" s="88" t="s">
        <v>132</v>
      </c>
      <c r="D19" s="85"/>
      <c r="E19" s="86"/>
      <c r="F19" s="176"/>
      <c r="G19" s="27"/>
    </row>
    <row r="20" spans="2:8" ht="15.75">
      <c r="B20" s="88"/>
      <c r="C20" s="88" t="s">
        <v>133</v>
      </c>
      <c r="D20" s="85"/>
      <c r="E20" s="86"/>
      <c r="F20" s="166">
        <f>'[1]CFS'!$B$14</f>
        <v>400821</v>
      </c>
      <c r="G20" s="27"/>
      <c r="H20" s="27">
        <v>432</v>
      </c>
    </row>
    <row r="21" spans="2:8" ht="15.75">
      <c r="B21" s="88"/>
      <c r="C21" s="88" t="s">
        <v>78</v>
      </c>
      <c r="D21" s="85"/>
      <c r="E21" s="86"/>
      <c r="F21" s="166">
        <v>13000</v>
      </c>
      <c r="G21" s="27"/>
      <c r="H21" s="27">
        <v>0</v>
      </c>
    </row>
    <row r="22" spans="2:8" ht="15.75">
      <c r="B22" s="88"/>
      <c r="C22" s="88" t="s">
        <v>162</v>
      </c>
      <c r="D22" s="85"/>
      <c r="E22" s="86"/>
      <c r="F22" s="166">
        <v>349000</v>
      </c>
      <c r="G22" s="27"/>
      <c r="H22" s="27">
        <v>78</v>
      </c>
    </row>
    <row r="23" spans="2:8" ht="15.75">
      <c r="B23" s="88"/>
      <c r="C23" s="88" t="s">
        <v>178</v>
      </c>
      <c r="D23" s="85"/>
      <c r="E23" s="86"/>
      <c r="F23" s="166">
        <f>'[1]CFS'!$B$18</f>
        <v>642725</v>
      </c>
      <c r="G23" s="27"/>
      <c r="H23" s="27">
        <v>0</v>
      </c>
    </row>
    <row r="24" spans="2:8" ht="15.75" hidden="1">
      <c r="B24" s="88"/>
      <c r="C24" s="88" t="s">
        <v>80</v>
      </c>
      <c r="D24" s="85"/>
      <c r="E24" s="86"/>
      <c r="F24" s="175">
        <f>'[1]CFS'!$B$28</f>
        <v>0</v>
      </c>
      <c r="G24" s="27"/>
      <c r="H24" s="27">
        <v>0</v>
      </c>
    </row>
    <row r="25" spans="2:8" ht="15.75" hidden="1">
      <c r="B25" s="88"/>
      <c r="C25" s="88" t="s">
        <v>77</v>
      </c>
      <c r="D25" s="85"/>
      <c r="E25" s="86"/>
      <c r="F25" s="166">
        <v>0</v>
      </c>
      <c r="G25" s="27"/>
      <c r="H25" s="27">
        <v>0</v>
      </c>
    </row>
    <row r="26" spans="2:8" ht="15.75" hidden="1">
      <c r="B26" s="88"/>
      <c r="C26" s="88" t="s">
        <v>78</v>
      </c>
      <c r="D26" s="85"/>
      <c r="E26" s="86"/>
      <c r="F26" s="166">
        <v>0</v>
      </c>
      <c r="G26" s="27"/>
      <c r="H26" s="27">
        <v>0</v>
      </c>
    </row>
    <row r="27" spans="3:8" ht="15.75">
      <c r="C27" s="88" t="s">
        <v>20</v>
      </c>
      <c r="D27" s="85"/>
      <c r="E27" s="86"/>
      <c r="F27" s="166">
        <f>'[1]CFS'!$B$26</f>
        <v>-3096991</v>
      </c>
      <c r="G27" s="27"/>
      <c r="H27" s="27">
        <v>-786</v>
      </c>
    </row>
    <row r="28" spans="3:8" ht="15.75">
      <c r="C28" s="88" t="s">
        <v>71</v>
      </c>
      <c r="D28" s="85"/>
      <c r="E28" s="86"/>
      <c r="F28" s="166">
        <f>'[1]CFS'!$B$31</f>
        <v>-3641470</v>
      </c>
      <c r="G28" s="27"/>
      <c r="H28" s="27">
        <v>-3638</v>
      </c>
    </row>
    <row r="29" spans="3:8" ht="15.75">
      <c r="C29" s="88" t="s">
        <v>172</v>
      </c>
      <c r="D29" s="85"/>
      <c r="E29" s="86"/>
      <c r="F29" s="166">
        <v>-106000</v>
      </c>
      <c r="G29" s="27"/>
      <c r="H29" s="27">
        <v>0</v>
      </c>
    </row>
    <row r="30" spans="3:8" ht="15.75">
      <c r="C30" s="88" t="s">
        <v>136</v>
      </c>
      <c r="D30" s="85"/>
      <c r="E30" s="86"/>
      <c r="F30" s="166">
        <f>'[1]CFS'!$B$27</f>
        <v>-20398965</v>
      </c>
      <c r="G30" s="27"/>
      <c r="H30" s="27">
        <v>0</v>
      </c>
    </row>
    <row r="31" spans="3:8" ht="15.75">
      <c r="C31" s="88" t="s">
        <v>164</v>
      </c>
      <c r="D31" s="85"/>
      <c r="E31" s="86"/>
      <c r="F31" s="175">
        <v>0</v>
      </c>
      <c r="G31" s="27"/>
      <c r="H31" s="27">
        <v>-1550</v>
      </c>
    </row>
    <row r="32" spans="3:8" ht="15.75">
      <c r="C32" s="88" t="s">
        <v>41</v>
      </c>
      <c r="D32" s="85"/>
      <c r="E32" s="86"/>
      <c r="F32" s="175">
        <v>0</v>
      </c>
      <c r="G32" s="27"/>
      <c r="H32" s="27">
        <v>-111</v>
      </c>
    </row>
    <row r="33" spans="3:8" ht="15.75" hidden="1">
      <c r="C33" s="88" t="s">
        <v>74</v>
      </c>
      <c r="D33" s="85"/>
      <c r="E33" s="86"/>
      <c r="F33" s="166">
        <v>0</v>
      </c>
      <c r="G33" s="27"/>
      <c r="H33" s="27">
        <v>0</v>
      </c>
    </row>
    <row r="34" spans="2:8" ht="7.5" customHeight="1">
      <c r="B34" s="88"/>
      <c r="C34" s="88"/>
      <c r="D34" s="85"/>
      <c r="E34" s="86"/>
      <c r="F34" s="167"/>
      <c r="G34" s="27"/>
      <c r="H34" s="32"/>
    </row>
    <row r="35" spans="2:8" ht="15.75">
      <c r="B35" s="88" t="s">
        <v>141</v>
      </c>
      <c r="C35" s="88"/>
      <c r="D35" s="85"/>
      <c r="E35" s="86"/>
      <c r="F35" s="168">
        <f>SUM(F13:F34)</f>
        <v>83983529</v>
      </c>
      <c r="G35" s="27"/>
      <c r="H35" s="44">
        <f>SUM(H13:H34)</f>
        <v>44265</v>
      </c>
    </row>
    <row r="36" spans="2:8" ht="15.75">
      <c r="B36" s="88"/>
      <c r="C36" s="88"/>
      <c r="D36" s="85"/>
      <c r="E36" s="86"/>
      <c r="F36" s="168"/>
      <c r="G36" s="27"/>
      <c r="H36" s="27"/>
    </row>
    <row r="37" spans="2:8" ht="15.75">
      <c r="B37" s="88" t="s">
        <v>75</v>
      </c>
      <c r="D37" s="85"/>
      <c r="E37" s="86"/>
      <c r="F37" s="168"/>
      <c r="G37" s="27"/>
      <c r="H37" s="27"/>
    </row>
    <row r="38" spans="2:8" ht="15.75">
      <c r="B38" s="88"/>
      <c r="C38" s="88" t="s">
        <v>142</v>
      </c>
      <c r="D38" s="85"/>
      <c r="E38" s="86"/>
      <c r="F38" s="168">
        <f>-182251000-373000+24000-448000</f>
        <v>-183048000</v>
      </c>
      <c r="G38" s="27"/>
      <c r="H38" s="27">
        <f>-181524-82</f>
        <v>-181606</v>
      </c>
    </row>
    <row r="39" spans="2:8" ht="15.75">
      <c r="B39" s="88"/>
      <c r="C39" s="88" t="s">
        <v>147</v>
      </c>
      <c r="D39" s="85"/>
      <c r="E39" s="86"/>
      <c r="F39" s="168">
        <f>2445000</f>
        <v>2445000</v>
      </c>
      <c r="G39" s="27"/>
      <c r="H39" s="27">
        <v>227</v>
      </c>
    </row>
    <row r="40" spans="2:8" ht="15.75">
      <c r="B40" s="88"/>
      <c r="C40" s="88" t="s">
        <v>11</v>
      </c>
      <c r="D40" s="85"/>
      <c r="E40" s="86"/>
      <c r="F40" s="168">
        <f>-2966000-1000+208000+298000</f>
        <v>-2461000</v>
      </c>
      <c r="G40" s="27"/>
      <c r="H40" s="27">
        <v>-20</v>
      </c>
    </row>
    <row r="41" spans="2:8" ht="15.75">
      <c r="B41" s="88"/>
      <c r="C41" s="88"/>
      <c r="D41" s="85"/>
      <c r="E41" s="86"/>
      <c r="F41" s="168"/>
      <c r="G41" s="27"/>
      <c r="H41" s="27"/>
    </row>
    <row r="42" spans="2:8" ht="15.75">
      <c r="B42" s="88" t="s">
        <v>26</v>
      </c>
      <c r="D42" s="85"/>
      <c r="E42" s="86"/>
      <c r="F42" s="168"/>
      <c r="G42" s="27"/>
      <c r="H42" s="27"/>
    </row>
    <row r="43" spans="2:8" ht="15.75">
      <c r="B43" s="88"/>
      <c r="C43" s="88" t="s">
        <v>64</v>
      </c>
      <c r="D43" s="85"/>
      <c r="E43" s="86"/>
      <c r="F43" s="168">
        <f>10931000-568000</f>
        <v>10363000</v>
      </c>
      <c r="G43" s="27"/>
      <c r="H43" s="27">
        <f>8394+4</f>
        <v>8398</v>
      </c>
    </row>
    <row r="44" spans="2:8" ht="7.5" customHeight="1">
      <c r="B44" s="88"/>
      <c r="C44" s="88"/>
      <c r="D44" s="85"/>
      <c r="E44" s="86"/>
      <c r="F44" s="167"/>
      <c r="G44" s="27"/>
      <c r="H44" s="32"/>
    </row>
    <row r="45" spans="2:8" ht="15.75">
      <c r="B45" s="88" t="s">
        <v>143</v>
      </c>
      <c r="D45" s="85"/>
      <c r="E45" s="86"/>
      <c r="F45" s="168">
        <f>SUM(F35:F44)</f>
        <v>-88717471</v>
      </c>
      <c r="G45" s="27"/>
      <c r="H45" s="44">
        <f>SUM(H35:H44)</f>
        <v>-128736</v>
      </c>
    </row>
    <row r="46" spans="2:8" ht="15.75">
      <c r="B46" s="88"/>
      <c r="D46" s="85"/>
      <c r="E46" s="86"/>
      <c r="F46" s="168"/>
      <c r="G46" s="27"/>
      <c r="H46" s="44"/>
    </row>
    <row r="47" spans="2:8" ht="15.75">
      <c r="B47" s="88" t="s">
        <v>110</v>
      </c>
      <c r="D47" s="85"/>
      <c r="E47" s="86"/>
      <c r="F47" s="168">
        <f>-26401000-400-6485000+6492000</f>
        <v>-26394400</v>
      </c>
      <c r="G47" s="27"/>
      <c r="H47" s="44">
        <v>-8392</v>
      </c>
    </row>
    <row r="48" spans="2:8" ht="15.75">
      <c r="B48" s="88" t="s">
        <v>27</v>
      </c>
      <c r="D48" s="85"/>
      <c r="E48" s="86"/>
      <c r="F48" s="168">
        <f>'[1]CFS'!$B$48</f>
        <v>-11510789</v>
      </c>
      <c r="G48" s="27"/>
      <c r="H48" s="27">
        <v>-7842</v>
      </c>
    </row>
    <row r="49" spans="2:8" ht="15.75">
      <c r="B49" s="88" t="s">
        <v>116</v>
      </c>
      <c r="D49" s="85"/>
      <c r="E49" s="86"/>
      <c r="F49" s="168">
        <f>'[1]CFS'!$B$49</f>
        <v>1343979</v>
      </c>
      <c r="G49" s="27"/>
      <c r="H49" s="27">
        <v>193</v>
      </c>
    </row>
    <row r="50" spans="2:8" ht="7.5" customHeight="1">
      <c r="B50" s="88"/>
      <c r="D50" s="85"/>
      <c r="E50" s="86"/>
      <c r="F50" s="167"/>
      <c r="G50" s="27"/>
      <c r="H50" s="27"/>
    </row>
    <row r="51" spans="2:8" ht="15.75">
      <c r="B51" s="88" t="s">
        <v>146</v>
      </c>
      <c r="C51" s="88"/>
      <c r="D51" s="85"/>
      <c r="E51" s="86"/>
      <c r="F51" s="169">
        <f>SUM(F45:F50)+1000</f>
        <v>-125277681</v>
      </c>
      <c r="G51" s="27"/>
      <c r="H51" s="90">
        <f>SUM(H45:H50)</f>
        <v>-144777</v>
      </c>
    </row>
    <row r="52" spans="2:8" ht="15.75">
      <c r="B52" s="88"/>
      <c r="C52" s="88"/>
      <c r="D52" s="85"/>
      <c r="E52" s="86"/>
      <c r="F52" s="166"/>
      <c r="G52" s="27"/>
      <c r="H52" s="27"/>
    </row>
    <row r="53" spans="2:8" ht="15.75">
      <c r="B53" s="95" t="s">
        <v>28</v>
      </c>
      <c r="C53" s="88"/>
      <c r="D53" s="85"/>
      <c r="E53" s="86"/>
      <c r="F53" s="166"/>
      <c r="G53" s="27"/>
      <c r="H53" s="27"/>
    </row>
    <row r="54" spans="2:8" ht="15.75">
      <c r="B54" s="88" t="s">
        <v>157</v>
      </c>
      <c r="D54" s="85"/>
      <c r="E54" s="86"/>
      <c r="F54" s="166">
        <v>23305000</v>
      </c>
      <c r="G54" s="27"/>
      <c r="H54" s="27">
        <v>0</v>
      </c>
    </row>
    <row r="55" spans="2:8" ht="15.75">
      <c r="B55" s="88" t="s">
        <v>169</v>
      </c>
      <c r="D55" s="85"/>
      <c r="E55" s="86"/>
      <c r="F55" s="166">
        <v>23200000</v>
      </c>
      <c r="G55" s="27"/>
      <c r="H55" s="27">
        <v>0</v>
      </c>
    </row>
    <row r="56" spans="2:8" ht="15.75">
      <c r="B56" s="88" t="s">
        <v>72</v>
      </c>
      <c r="D56" s="85"/>
      <c r="E56" s="86"/>
      <c r="F56" s="168">
        <f>'[1]CFS'!$B$65</f>
        <v>3605050</v>
      </c>
      <c r="G56" s="27"/>
      <c r="H56" s="27">
        <v>3445</v>
      </c>
    </row>
    <row r="57" spans="2:8" ht="15.75">
      <c r="B57" s="88" t="s">
        <v>21</v>
      </c>
      <c r="D57" s="85"/>
      <c r="E57" s="86"/>
      <c r="F57" s="166">
        <f>'[1]CFS'!$B$64</f>
        <v>3096991</v>
      </c>
      <c r="G57" s="27"/>
      <c r="H57" s="27">
        <v>786</v>
      </c>
    </row>
    <row r="58" spans="2:8" ht="15.75">
      <c r="B58" s="88" t="s">
        <v>170</v>
      </c>
      <c r="D58" s="85"/>
      <c r="E58" s="86"/>
      <c r="F58" s="166">
        <v>365000</v>
      </c>
      <c r="G58" s="27"/>
      <c r="H58" s="27">
        <v>0</v>
      </c>
    </row>
    <row r="59" spans="2:8" ht="15.75">
      <c r="B59" s="88" t="s">
        <v>42</v>
      </c>
      <c r="D59" s="85"/>
      <c r="E59" s="86"/>
      <c r="F59" s="175">
        <v>0</v>
      </c>
      <c r="G59" s="27"/>
      <c r="H59" s="27">
        <v>7829</v>
      </c>
    </row>
    <row r="60" spans="2:8" ht="15.75">
      <c r="B60" s="88" t="s">
        <v>176</v>
      </c>
      <c r="D60" s="85"/>
      <c r="E60" s="86"/>
      <c r="F60" s="166">
        <f>'[1]CFS'!$B$58</f>
        <v>-6665118</v>
      </c>
      <c r="G60" s="27"/>
      <c r="H60" s="27">
        <v>0</v>
      </c>
    </row>
    <row r="61" spans="2:8" ht="15.75">
      <c r="B61" s="88" t="s">
        <v>111</v>
      </c>
      <c r="D61" s="85"/>
      <c r="E61" s="86"/>
      <c r="F61" s="166">
        <f>'[1]CFS'!$B$59+500000</f>
        <v>-3999693</v>
      </c>
      <c r="G61" s="27"/>
      <c r="H61" s="27">
        <v>-4000</v>
      </c>
    </row>
    <row r="62" spans="2:8" ht="15.75">
      <c r="B62" s="88" t="s">
        <v>171</v>
      </c>
      <c r="D62" s="85"/>
      <c r="E62" s="86"/>
      <c r="F62" s="166">
        <v>-759000</v>
      </c>
      <c r="G62" s="27"/>
      <c r="H62" s="27">
        <v>0</v>
      </c>
    </row>
    <row r="63" spans="2:8" ht="15.75">
      <c r="B63" s="88" t="s">
        <v>179</v>
      </c>
      <c r="D63" s="85"/>
      <c r="E63" s="86"/>
      <c r="F63" s="166">
        <f>'[1]CFS'!$B$62+358000</f>
        <v>-214281</v>
      </c>
      <c r="G63" s="27"/>
      <c r="H63" s="27">
        <v>-869</v>
      </c>
    </row>
    <row r="64" spans="2:8" ht="15.75">
      <c r="B64" s="88" t="s">
        <v>112</v>
      </c>
      <c r="D64" s="85"/>
      <c r="E64" s="86"/>
      <c r="F64" s="177">
        <v>0</v>
      </c>
      <c r="G64" s="27"/>
      <c r="H64" s="27">
        <v>-31971</v>
      </c>
    </row>
    <row r="65" spans="2:8" ht="15.75" hidden="1">
      <c r="B65" s="88" t="s">
        <v>42</v>
      </c>
      <c r="D65" s="85"/>
      <c r="E65" s="86"/>
      <c r="F65" s="177">
        <v>0</v>
      </c>
      <c r="G65" s="27"/>
      <c r="H65" s="27">
        <v>0</v>
      </c>
    </row>
    <row r="66" spans="2:8" ht="6.75" customHeight="1">
      <c r="B66" s="88"/>
      <c r="C66" s="88"/>
      <c r="D66" s="85"/>
      <c r="E66" s="86"/>
      <c r="F66" s="167"/>
      <c r="G66" s="27"/>
      <c r="H66" s="27"/>
    </row>
    <row r="67" spans="2:8" ht="15.75">
      <c r="B67" s="88" t="s">
        <v>185</v>
      </c>
      <c r="C67" s="88"/>
      <c r="D67" s="85"/>
      <c r="E67" s="86"/>
      <c r="F67" s="169">
        <f>SUM(F54:F66)-1</f>
        <v>41933948</v>
      </c>
      <c r="G67" s="27"/>
      <c r="H67" s="90">
        <f>SUM(H54:H66)</f>
        <v>-24780</v>
      </c>
    </row>
    <row r="68" spans="2:8" ht="15.75">
      <c r="B68" s="88"/>
      <c r="C68" s="88"/>
      <c r="D68" s="85"/>
      <c r="E68" s="86"/>
      <c r="F68" s="168"/>
      <c r="G68" s="27"/>
      <c r="H68" s="44"/>
    </row>
    <row r="69" spans="2:8" ht="15.75">
      <c r="B69" s="88"/>
      <c r="C69" s="88"/>
      <c r="D69" s="85"/>
      <c r="E69" s="86"/>
      <c r="F69" s="168"/>
      <c r="G69" s="27"/>
      <c r="H69" s="44"/>
    </row>
    <row r="70" spans="2:8" ht="15.75">
      <c r="B70" s="95" t="s">
        <v>29</v>
      </c>
      <c r="C70" s="88"/>
      <c r="D70" s="85"/>
      <c r="E70" s="86"/>
      <c r="F70" s="166"/>
      <c r="G70" s="27"/>
      <c r="H70" s="27"/>
    </row>
    <row r="71" spans="2:8" ht="15.75" hidden="1">
      <c r="B71" s="88" t="s">
        <v>73</v>
      </c>
      <c r="C71" s="88"/>
      <c r="D71" s="85"/>
      <c r="E71" s="86"/>
      <c r="F71" s="166">
        <v>0</v>
      </c>
      <c r="G71" s="27"/>
      <c r="H71" s="27">
        <v>0</v>
      </c>
    </row>
    <row r="72" spans="2:8" ht="15.75">
      <c r="B72" s="88" t="s">
        <v>137</v>
      </c>
      <c r="C72" s="88"/>
      <c r="D72" s="85"/>
      <c r="E72" s="86"/>
      <c r="F72" s="166">
        <f>'[1]CFS'!$B$71</f>
        <v>219931001</v>
      </c>
      <c r="G72" s="27"/>
      <c r="H72" s="27">
        <v>120000</v>
      </c>
    </row>
    <row r="73" spans="2:8" ht="15.75">
      <c r="B73" s="88" t="s">
        <v>165</v>
      </c>
      <c r="C73" s="88"/>
      <c r="D73" s="85"/>
      <c r="E73" s="86"/>
      <c r="F73" s="166">
        <f>85000000+400</f>
        <v>85000400</v>
      </c>
      <c r="G73" s="27"/>
      <c r="H73" s="27">
        <v>101971</v>
      </c>
    </row>
    <row r="74" spans="2:8" ht="15.75">
      <c r="B74" s="88" t="s">
        <v>138</v>
      </c>
      <c r="C74" s="88"/>
      <c r="D74" s="85"/>
      <c r="E74" s="86"/>
      <c r="F74" s="166">
        <f>'[1]CFS'!$B$76</f>
        <v>5718100</v>
      </c>
      <c r="G74" s="27"/>
      <c r="H74" s="27">
        <v>0</v>
      </c>
    </row>
    <row r="75" spans="2:8" ht="15.75">
      <c r="B75" s="88" t="s">
        <v>152</v>
      </c>
      <c r="C75" s="88"/>
      <c r="D75" s="85"/>
      <c r="E75" s="86"/>
      <c r="F75" s="166">
        <f>'[1]CFS'!$B$73</f>
        <v>-18000000</v>
      </c>
      <c r="G75" s="27"/>
      <c r="H75" s="27">
        <v>-10000</v>
      </c>
    </row>
    <row r="76" spans="2:8" ht="15.75">
      <c r="B76" s="88" t="s">
        <v>166</v>
      </c>
      <c r="C76" s="88"/>
      <c r="D76" s="85"/>
      <c r="E76" s="86"/>
      <c r="F76" s="166">
        <f>-93905000-400+1000</f>
        <v>-93904400</v>
      </c>
      <c r="G76" s="27"/>
      <c r="H76" s="27">
        <v>-2500</v>
      </c>
    </row>
    <row r="77" spans="2:8" ht="15.75">
      <c r="B77" s="88" t="s">
        <v>167</v>
      </c>
      <c r="C77" s="88"/>
      <c r="D77" s="85"/>
      <c r="E77" s="86"/>
      <c r="F77" s="166">
        <f>'[1]CFS'!$B$79+4000</f>
        <v>-75632</v>
      </c>
      <c r="G77" s="27"/>
      <c r="H77" s="27">
        <v>-63</v>
      </c>
    </row>
    <row r="78" spans="2:8" ht="15.75">
      <c r="B78" s="88" t="s">
        <v>168</v>
      </c>
      <c r="C78" s="88"/>
      <c r="D78" s="85"/>
      <c r="E78" s="86"/>
      <c r="F78" s="166">
        <f>'[1]CFS'!$B$78-15000-1000</f>
        <v>-161436</v>
      </c>
      <c r="G78" s="27"/>
      <c r="H78" s="27">
        <v>-90</v>
      </c>
    </row>
    <row r="79" spans="2:8" ht="15.75">
      <c r="B79" s="88" t="s">
        <v>113</v>
      </c>
      <c r="C79" s="88"/>
      <c r="D79" s="85"/>
      <c r="E79" s="86"/>
      <c r="F79" s="166">
        <f>'[1]CFS'!$B$77+1000</f>
        <v>-294820</v>
      </c>
      <c r="G79" s="27"/>
      <c r="H79" s="27">
        <v>-216</v>
      </c>
    </row>
    <row r="80" spans="2:8" ht="15.75">
      <c r="B80" s="19" t="s">
        <v>62</v>
      </c>
      <c r="C80" s="88"/>
      <c r="D80" s="85"/>
      <c r="E80" s="86"/>
      <c r="F80" s="166">
        <f>'[1]CFS'!$B$75+1000</f>
        <v>-2892545</v>
      </c>
      <c r="G80" s="27"/>
      <c r="H80" s="27">
        <v>-1510</v>
      </c>
    </row>
    <row r="81" spans="2:8" ht="6" customHeight="1">
      <c r="B81" s="88"/>
      <c r="C81" s="88"/>
      <c r="D81" s="85"/>
      <c r="E81" s="86"/>
      <c r="F81" s="166"/>
      <c r="G81" s="27"/>
      <c r="H81" s="27"/>
    </row>
    <row r="82" spans="2:8" ht="15.75">
      <c r="B82" s="88" t="s">
        <v>114</v>
      </c>
      <c r="C82" s="88"/>
      <c r="D82" s="85"/>
      <c r="E82" s="86"/>
      <c r="F82" s="169">
        <f>SUM(F71:F80)-1000</f>
        <v>195319668</v>
      </c>
      <c r="G82" s="27"/>
      <c r="H82" s="90">
        <f>SUM(H71:H80)</f>
        <v>207592</v>
      </c>
    </row>
    <row r="83" spans="2:8" ht="15.75">
      <c r="B83" s="84"/>
      <c r="C83" s="91"/>
      <c r="D83" s="85"/>
      <c r="E83" s="86"/>
      <c r="F83" s="168"/>
      <c r="G83" s="27"/>
      <c r="H83" s="27"/>
    </row>
    <row r="84" spans="2:8" ht="15.75">
      <c r="B84" s="87" t="s">
        <v>115</v>
      </c>
      <c r="C84" s="88"/>
      <c r="D84" s="85"/>
      <c r="E84" s="86"/>
      <c r="F84" s="168">
        <f>+F51+F67+F82</f>
        <v>111975935</v>
      </c>
      <c r="G84" s="27"/>
      <c r="H84" s="44">
        <f>+H51+H67+H82</f>
        <v>38035</v>
      </c>
    </row>
    <row r="85" spans="2:8" ht="15.75">
      <c r="B85" s="88" t="s">
        <v>30</v>
      </c>
      <c r="C85" s="88"/>
      <c r="D85" s="85"/>
      <c r="E85" s="86"/>
      <c r="F85" s="166"/>
      <c r="G85" s="27"/>
      <c r="H85" s="27"/>
    </row>
    <row r="86" spans="2:8" ht="15.75">
      <c r="B86" s="18" t="s">
        <v>180</v>
      </c>
      <c r="C86" s="88"/>
      <c r="D86" s="85"/>
      <c r="E86" s="86"/>
      <c r="F86" s="168">
        <f>+H88*1000</f>
        <v>56006000</v>
      </c>
      <c r="G86" s="27"/>
      <c r="H86" s="27">
        <v>17971</v>
      </c>
    </row>
    <row r="87" spans="2:8" ht="15.75">
      <c r="B87" s="88" t="s">
        <v>30</v>
      </c>
      <c r="C87" s="88"/>
      <c r="D87" s="85"/>
      <c r="E87" s="86"/>
      <c r="F87" s="170"/>
      <c r="G87" s="27"/>
      <c r="H87" s="27"/>
    </row>
    <row r="88" spans="2:8" ht="16.5" thickBot="1">
      <c r="B88" s="18" t="s">
        <v>181</v>
      </c>
      <c r="C88" s="87"/>
      <c r="D88" s="85"/>
      <c r="E88" s="86"/>
      <c r="F88" s="171">
        <f>+F84+F86-1000+1000</f>
        <v>167981935</v>
      </c>
      <c r="G88" s="27"/>
      <c r="H88" s="92">
        <f>+H84+H86</f>
        <v>56006</v>
      </c>
    </row>
    <row r="89" spans="2:8" ht="16.5" thickTop="1">
      <c r="B89" s="87"/>
      <c r="C89" s="84"/>
      <c r="D89" s="85"/>
      <c r="E89" s="86"/>
      <c r="F89" s="166"/>
      <c r="H89" s="27"/>
    </row>
    <row r="90" spans="2:8" ht="15.75">
      <c r="B90" s="17" t="s">
        <v>70</v>
      </c>
      <c r="C90" s="84"/>
      <c r="D90" s="85"/>
      <c r="E90" s="86"/>
      <c r="F90" s="166"/>
      <c r="H90" s="27"/>
    </row>
    <row r="91" spans="2:8" ht="15.75">
      <c r="B91" s="17" t="s">
        <v>186</v>
      </c>
      <c r="C91" s="84"/>
      <c r="D91" s="85"/>
      <c r="E91" s="86"/>
      <c r="F91" s="166"/>
      <c r="H91" s="27"/>
    </row>
    <row r="92" spans="2:8" ht="15.75">
      <c r="B92" s="17"/>
      <c r="C92" s="84"/>
      <c r="D92" s="85"/>
      <c r="E92" s="86"/>
      <c r="F92" s="166"/>
      <c r="H92" s="27"/>
    </row>
    <row r="93" spans="2:8" ht="15.75">
      <c r="B93" s="93" t="s">
        <v>12</v>
      </c>
      <c r="D93" s="85"/>
      <c r="E93" s="86"/>
      <c r="F93" s="170">
        <f>+BalanceSheet!H26-400</f>
        <v>162626917</v>
      </c>
      <c r="G93" s="27"/>
      <c r="H93" s="27">
        <v>48573</v>
      </c>
    </row>
    <row r="94" spans="2:8" ht="15.75">
      <c r="B94" s="93" t="s">
        <v>9</v>
      </c>
      <c r="D94" s="85"/>
      <c r="E94" s="86"/>
      <c r="F94" s="170">
        <f>+BalanceSheet!H27</f>
        <v>5355243</v>
      </c>
      <c r="G94" s="27"/>
      <c r="H94" s="27">
        <v>7433</v>
      </c>
    </row>
    <row r="95" spans="2:8" ht="15.75">
      <c r="B95" s="18"/>
      <c r="D95" s="85"/>
      <c r="E95" s="86"/>
      <c r="F95" s="166"/>
      <c r="G95" s="27"/>
      <c r="H95" s="27"/>
    </row>
    <row r="96" spans="2:8" ht="16.5" thickBot="1">
      <c r="B96" s="17"/>
      <c r="F96" s="171">
        <f>SUM(F93:F94)</f>
        <v>167982160</v>
      </c>
      <c r="G96" s="27"/>
      <c r="H96" s="92">
        <f>SUM(H93:H94)</f>
        <v>56006</v>
      </c>
    </row>
    <row r="97" spans="2:8" ht="16.5" thickTop="1">
      <c r="B97" s="17"/>
      <c r="F97" s="116"/>
      <c r="H97" s="27"/>
    </row>
    <row r="100" spans="6:8" ht="15.75">
      <c r="F100" s="115"/>
      <c r="H100" s="27"/>
    </row>
    <row r="101" spans="2:8" ht="15.75">
      <c r="B101" s="18"/>
      <c r="C101" s="18"/>
      <c r="F101" s="115"/>
      <c r="H101" s="27"/>
    </row>
    <row r="102" spans="6:8" ht="15.75">
      <c r="F102" s="115"/>
      <c r="H102" s="27"/>
    </row>
    <row r="103" spans="6:8" ht="15.75">
      <c r="F103" s="115"/>
      <c r="H103" s="27"/>
    </row>
    <row r="104" ht="15.75">
      <c r="H104" s="27"/>
    </row>
    <row r="105" ht="15.75">
      <c r="H105" s="27"/>
    </row>
    <row r="106" ht="15.75">
      <c r="H106" s="27"/>
    </row>
    <row r="107" ht="15.75">
      <c r="H107" s="27"/>
    </row>
    <row r="108" ht="15.75">
      <c r="H108" s="27"/>
    </row>
    <row r="109" spans="3:8" ht="15.75">
      <c r="C109" s="65" t="s">
        <v>15</v>
      </c>
      <c r="H109" s="27"/>
    </row>
    <row r="110" ht="15.75">
      <c r="H110" s="27"/>
    </row>
    <row r="111" ht="15.75">
      <c r="H111" s="27"/>
    </row>
    <row r="112" ht="15.75">
      <c r="H112" s="27"/>
    </row>
    <row r="113" ht="15.75">
      <c r="H113" s="27"/>
    </row>
    <row r="114" ht="15.75">
      <c r="H114" s="27"/>
    </row>
    <row r="115" ht="15.75">
      <c r="H115" s="27"/>
    </row>
    <row r="116" ht="15.75">
      <c r="H116" s="27"/>
    </row>
    <row r="117" ht="15.75">
      <c r="H117" s="27"/>
    </row>
    <row r="118" ht="15.75">
      <c r="H118" s="27"/>
    </row>
    <row r="119" ht="15.75">
      <c r="H119" s="27"/>
    </row>
    <row r="120" ht="15.75">
      <c r="H120" s="27"/>
    </row>
    <row r="121" ht="15.75">
      <c r="H121" s="27"/>
    </row>
    <row r="122" ht="15.75">
      <c r="H122" s="27"/>
    </row>
    <row r="123" ht="15.75">
      <c r="H123" s="27"/>
    </row>
    <row r="124" ht="15.75">
      <c r="H124" s="27"/>
    </row>
    <row r="125" ht="15.75">
      <c r="H125" s="27"/>
    </row>
    <row r="126" ht="15.75">
      <c r="H126" s="27"/>
    </row>
    <row r="127" ht="15.75">
      <c r="H127" s="27"/>
    </row>
    <row r="128" ht="15.75">
      <c r="H128" s="27"/>
    </row>
    <row r="129" ht="15.75">
      <c r="H129" s="27"/>
    </row>
    <row r="130" ht="15.75">
      <c r="H130" s="27"/>
    </row>
    <row r="131" ht="15.75">
      <c r="H131" s="27"/>
    </row>
    <row r="132" ht="15.75">
      <c r="H132" s="27"/>
    </row>
    <row r="133" ht="15.75">
      <c r="H133" s="27"/>
    </row>
    <row r="134" ht="15.75">
      <c r="H134" s="27"/>
    </row>
    <row r="135" ht="15.75">
      <c r="H135" s="27"/>
    </row>
    <row r="136" ht="15.75">
      <c r="H136" s="27"/>
    </row>
    <row r="137" ht="15.75">
      <c r="H137" s="27"/>
    </row>
    <row r="138" ht="15.75">
      <c r="H138" s="27"/>
    </row>
    <row r="139" ht="15.75">
      <c r="H139" s="27"/>
    </row>
    <row r="140" ht="15.75">
      <c r="H140" s="27"/>
    </row>
    <row r="141" ht="15.75">
      <c r="H141" s="27"/>
    </row>
    <row r="142" ht="15.75">
      <c r="H142" s="27"/>
    </row>
    <row r="143" ht="15.75">
      <c r="H143" s="27"/>
    </row>
    <row r="144" ht="15.75">
      <c r="H144" s="27"/>
    </row>
    <row r="145" ht="15.75">
      <c r="H145" s="27"/>
    </row>
    <row r="146" ht="15.75">
      <c r="H146" s="27"/>
    </row>
    <row r="147" ht="15.75">
      <c r="H147" s="27"/>
    </row>
    <row r="148" ht="15.75">
      <c r="H148" s="27"/>
    </row>
    <row r="149" ht="15.75">
      <c r="H149" s="27"/>
    </row>
    <row r="150" ht="15.75">
      <c r="H150" s="27"/>
    </row>
    <row r="151" ht="15.75">
      <c r="H151" s="27"/>
    </row>
    <row r="152" ht="15.75">
      <c r="H152" s="27"/>
    </row>
    <row r="153" ht="15.75">
      <c r="H153" s="27"/>
    </row>
    <row r="154" ht="15.75">
      <c r="H154" s="27"/>
    </row>
    <row r="155" ht="15.75">
      <c r="H155" s="27"/>
    </row>
    <row r="156" ht="15.75">
      <c r="H156" s="27"/>
    </row>
    <row r="157" ht="15.75">
      <c r="H157" s="27"/>
    </row>
    <row r="158" ht="15.75">
      <c r="H158" s="27"/>
    </row>
    <row r="159" ht="15.75">
      <c r="H159" s="27"/>
    </row>
    <row r="160" ht="15.75">
      <c r="H160" s="27"/>
    </row>
    <row r="161" ht="15.75">
      <c r="H161" s="27"/>
    </row>
    <row r="162" ht="15.75">
      <c r="H162" s="27"/>
    </row>
    <row r="163" ht="15.75">
      <c r="H163" s="27"/>
    </row>
    <row r="164" ht="15.75">
      <c r="H164" s="27"/>
    </row>
    <row r="165" ht="15.75">
      <c r="H165" s="27"/>
    </row>
    <row r="166" ht="15.75">
      <c r="H166" s="27"/>
    </row>
    <row r="167" ht="15.75">
      <c r="H167" s="27"/>
    </row>
    <row r="168" ht="15.75">
      <c r="H168" s="27"/>
    </row>
    <row r="169" ht="15.75">
      <c r="H169" s="27"/>
    </row>
    <row r="170" ht="15.75">
      <c r="H170" s="27"/>
    </row>
    <row r="171" ht="15.75">
      <c r="H171" s="27"/>
    </row>
    <row r="172" ht="15.75">
      <c r="H172" s="27"/>
    </row>
    <row r="173" ht="15.75">
      <c r="H173" s="27"/>
    </row>
    <row r="174" ht="15.75">
      <c r="H174" s="27"/>
    </row>
    <row r="175" ht="15.75">
      <c r="H175" s="27"/>
    </row>
    <row r="176" ht="15.75">
      <c r="H176" s="27"/>
    </row>
    <row r="177" ht="15.75">
      <c r="H177" s="27"/>
    </row>
    <row r="178" ht="15.75">
      <c r="H178" s="27"/>
    </row>
    <row r="179" ht="15.75">
      <c r="H179" s="27"/>
    </row>
    <row r="180" ht="15.75">
      <c r="H180" s="27"/>
    </row>
    <row r="181" ht="15.75">
      <c r="H181" s="27"/>
    </row>
    <row r="182" ht="15.75">
      <c r="H182" s="27"/>
    </row>
    <row r="183" ht="15.75">
      <c r="H183" s="27"/>
    </row>
    <row r="184" ht="15.75">
      <c r="H184" s="27"/>
    </row>
    <row r="185" ht="15.75">
      <c r="H185" s="27"/>
    </row>
    <row r="186" ht="15.75">
      <c r="H186" s="27"/>
    </row>
    <row r="187" ht="15.75">
      <c r="H187" s="27"/>
    </row>
    <row r="188" ht="15.75">
      <c r="H188" s="27"/>
    </row>
    <row r="189" ht="15.75">
      <c r="H189" s="27"/>
    </row>
    <row r="190" ht="15.75">
      <c r="H190" s="27"/>
    </row>
    <row r="191" ht="15.75">
      <c r="H191" s="27"/>
    </row>
    <row r="192" ht="15.75">
      <c r="H192" s="27"/>
    </row>
    <row r="193" ht="15.75">
      <c r="H193" s="27"/>
    </row>
    <row r="194" ht="15.75">
      <c r="H194" s="27"/>
    </row>
    <row r="195" ht="15.75">
      <c r="H195" s="27"/>
    </row>
    <row r="196" ht="15.75">
      <c r="H196" s="27"/>
    </row>
    <row r="197" ht="15.75">
      <c r="H197" s="27"/>
    </row>
    <row r="198" ht="15.75">
      <c r="H198" s="27"/>
    </row>
    <row r="199" ht="15.75">
      <c r="H199" s="27"/>
    </row>
    <row r="200" ht="15.75">
      <c r="H200" s="27"/>
    </row>
    <row r="201" ht="15.75">
      <c r="H201" s="27"/>
    </row>
    <row r="202" ht="15.75">
      <c r="H202" s="27"/>
    </row>
    <row r="203" ht="15.75">
      <c r="H203" s="27"/>
    </row>
    <row r="204" ht="15.75">
      <c r="H204" s="27"/>
    </row>
    <row r="205" ht="15.75">
      <c r="H205" s="27"/>
    </row>
    <row r="206" ht="15.75">
      <c r="H206" s="27"/>
    </row>
    <row r="207" ht="15.75">
      <c r="H207" s="27"/>
    </row>
    <row r="208" ht="15.75">
      <c r="H208" s="27"/>
    </row>
    <row r="209" ht="15.75">
      <c r="H209" s="27"/>
    </row>
    <row r="210" ht="15.75">
      <c r="H210" s="27"/>
    </row>
    <row r="211" ht="15.75">
      <c r="H211" s="27"/>
    </row>
    <row r="212" ht="15.75">
      <c r="H212" s="27"/>
    </row>
    <row r="213" ht="15.75">
      <c r="H213" s="27"/>
    </row>
  </sheetData>
  <printOptions horizontalCentered="1"/>
  <pageMargins left="0.33" right="0.17" top="0.7" bottom="0.67" header="0.5" footer="0.5"/>
  <pageSetup horizontalDpi="600" verticalDpi="600" orientation="portrait" paperSize="9" scale="80" r:id="rId2"/>
  <rowBreaks count="1" manualBreakCount="1">
    <brk id="68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Arab-Malaysian Corp.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AMCORP</dc:creator>
  <cp:keywords/>
  <dc:description/>
  <cp:lastModifiedBy>SK</cp:lastModifiedBy>
  <cp:lastPrinted>2007-05-22T06:23:07Z</cp:lastPrinted>
  <dcterms:created xsi:type="dcterms:W3CDTF">1999-11-03T09:53:03Z</dcterms:created>
  <dcterms:modified xsi:type="dcterms:W3CDTF">2007-05-22T09:05:18Z</dcterms:modified>
  <cp:category/>
  <cp:version/>
  <cp:contentType/>
  <cp:contentStatus/>
</cp:coreProperties>
</file>